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44E312F6-FB82-49DF-9242-5D85AA25CFDE}" xr6:coauthVersionLast="46" xr6:coauthVersionMax="46" xr10:uidLastSave="{00000000-0000-0000-0000-000000000000}"/>
  <bookViews>
    <workbookView xWindow="-120" yWindow="-120" windowWidth="29040" windowHeight="15990" xr2:uid="{00000000-000D-0000-FFFF-FFFF00000000}"/>
  </bookViews>
  <sheets>
    <sheet name="instructions" sheetId="5" r:id="rId1"/>
    <sheet name="individuals" sheetId="4" r:id="rId2"/>
    <sheet name="eggs" sheetId="3" r:id="rId3"/>
    <sheet name="individuals_stats (μm)" sheetId="6" r:id="rId4"/>
    <sheet name="individuals_stats (pt)" sheetId="7" r:id="rId5"/>
    <sheet name="eggs_stats (μm)"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4" l="1"/>
  <c r="G6" i="4"/>
  <c r="G7" i="4"/>
  <c r="G8" i="4"/>
  <c r="G9" i="4"/>
  <c r="G11" i="4"/>
  <c r="G12" i="4"/>
  <c r="G13" i="4"/>
  <c r="G14" i="4"/>
  <c r="G15" i="4"/>
  <c r="G17" i="4"/>
  <c r="G18" i="4"/>
  <c r="G19" i="4"/>
  <c r="G20" i="4"/>
  <c r="G22" i="4"/>
  <c r="G23" i="4"/>
  <c r="G24" i="4"/>
  <c r="G25" i="4"/>
  <c r="G27" i="4"/>
  <c r="G28" i="4"/>
  <c r="G29" i="4"/>
  <c r="G30" i="4"/>
  <c r="G32" i="4"/>
  <c r="G33" i="4"/>
  <c r="G34" i="4"/>
  <c r="G35" i="4"/>
  <c r="AO37" i="4" l="1"/>
  <c r="AO38" i="4"/>
  <c r="AO39" i="4"/>
  <c r="AO40" i="4"/>
  <c r="AO41" i="4"/>
  <c r="AO42" i="4"/>
  <c r="AO43" i="4"/>
  <c r="AO44" i="4"/>
  <c r="AO45" i="4"/>
  <c r="AO36" i="4"/>
  <c r="B2" i="8"/>
  <c r="B3" i="7"/>
  <c r="B4" i="7"/>
  <c r="B5" i="7"/>
  <c r="B6" i="7"/>
  <c r="B7" i="7"/>
  <c r="B8" i="7"/>
  <c r="B9" i="7"/>
  <c r="B2" i="7"/>
  <c r="B9" i="6"/>
  <c r="B8" i="6"/>
  <c r="B7" i="6"/>
  <c r="B6" i="6"/>
  <c r="B5" i="6"/>
  <c r="B4" i="6"/>
  <c r="B3" i="6"/>
  <c r="A2" i="8"/>
  <c r="A2" i="7"/>
  <c r="A3" i="7"/>
  <c r="A4" i="7"/>
  <c r="A5" i="7"/>
  <c r="A6" i="7"/>
  <c r="A7" i="7"/>
  <c r="A8" i="7"/>
  <c r="A9" i="7"/>
  <c r="A4" i="6"/>
  <c r="A5" i="6"/>
  <c r="A6" i="6"/>
  <c r="A7" i="6"/>
  <c r="A8" i="6"/>
  <c r="A9" i="6"/>
  <c r="A3" i="6"/>
  <c r="J2" i="8"/>
  <c r="I2" i="8"/>
  <c r="G2" i="8"/>
  <c r="K2" i="8"/>
  <c r="F2" i="8"/>
  <c r="E2" i="8"/>
  <c r="D2" i="8"/>
  <c r="C2" i="8"/>
  <c r="K10" i="3"/>
  <c r="L10" i="3"/>
  <c r="M10" i="3"/>
  <c r="N10" i="3"/>
  <c r="O10" i="3"/>
  <c r="K11" i="3"/>
  <c r="L11" i="3"/>
  <c r="M11" i="3"/>
  <c r="N11" i="3"/>
  <c r="O11" i="3"/>
  <c r="K12" i="3"/>
  <c r="L12" i="3"/>
  <c r="M12" i="3"/>
  <c r="N12" i="3"/>
  <c r="O12" i="3"/>
  <c r="V9" i="3"/>
  <c r="T9" i="3"/>
  <c r="U9" i="3" s="1"/>
  <c r="V8" i="3"/>
  <c r="T8" i="3"/>
  <c r="U8" i="3"/>
  <c r="V7" i="3"/>
  <c r="T7" i="3"/>
  <c r="U7" i="3"/>
  <c r="V5" i="3"/>
  <c r="T5" i="3"/>
  <c r="U5" i="3"/>
  <c r="V4" i="3"/>
  <c r="T4" i="3"/>
  <c r="U4" i="3"/>
  <c r="V3" i="3"/>
  <c r="T3" i="3"/>
  <c r="U3" i="3" s="1"/>
  <c r="V2" i="3"/>
  <c r="T2" i="3"/>
  <c r="U2" i="3" s="1"/>
  <c r="R9" i="3"/>
  <c r="R8" i="3"/>
  <c r="R7" i="3"/>
  <c r="R6" i="3"/>
  <c r="R5" i="3"/>
  <c r="R3" i="3"/>
  <c r="R4" i="3"/>
  <c r="R2" i="3"/>
  <c r="W9" i="3"/>
  <c r="W8" i="3"/>
  <c r="W7" i="3"/>
  <c r="W5" i="3"/>
  <c r="W4" i="3"/>
  <c r="W3" i="3"/>
  <c r="W2" i="3"/>
  <c r="C9" i="7"/>
  <c r="C8" i="7"/>
  <c r="C7" i="7"/>
  <c r="C6" i="7"/>
  <c r="C5" i="7"/>
  <c r="C4" i="7"/>
  <c r="C3" i="7"/>
  <c r="C2" i="7"/>
  <c r="AC4" i="7"/>
  <c r="AA4" i="7"/>
  <c r="Z4" i="7"/>
  <c r="X4" i="7"/>
  <c r="U4" i="7"/>
  <c r="T4" i="7"/>
  <c r="S4" i="7"/>
  <c r="R4" i="7"/>
  <c r="O4" i="7"/>
  <c r="M4" i="7"/>
  <c r="J4" i="7"/>
  <c r="F4" i="7"/>
  <c r="AD9" i="6"/>
  <c r="AC9" i="6"/>
  <c r="AB9" i="6"/>
  <c r="AA9" i="6"/>
  <c r="Z9" i="6"/>
  <c r="Y9" i="6"/>
  <c r="X9" i="6"/>
  <c r="W9" i="6"/>
  <c r="V9" i="6"/>
  <c r="U9" i="6"/>
  <c r="T9" i="6"/>
  <c r="S9" i="6"/>
  <c r="R9" i="6"/>
  <c r="Q9" i="6"/>
  <c r="P9" i="6"/>
  <c r="O9" i="6"/>
  <c r="N9" i="6"/>
  <c r="M9" i="6"/>
  <c r="L9" i="6"/>
  <c r="K9" i="6"/>
  <c r="J9" i="6"/>
  <c r="I9" i="6"/>
  <c r="H9" i="6"/>
  <c r="G9" i="6"/>
  <c r="F9" i="6"/>
  <c r="E9" i="6"/>
  <c r="D9" i="6"/>
  <c r="C9" i="6"/>
  <c r="AD8" i="6"/>
  <c r="AC8" i="6"/>
  <c r="AB8" i="6"/>
  <c r="AA8" i="6"/>
  <c r="Z8" i="6"/>
  <c r="Y8" i="6"/>
  <c r="X8" i="6"/>
  <c r="W8" i="6"/>
  <c r="V8" i="6"/>
  <c r="U8" i="6"/>
  <c r="T8" i="6"/>
  <c r="S8" i="6"/>
  <c r="R8" i="6"/>
  <c r="Q8" i="6"/>
  <c r="P8" i="6"/>
  <c r="O8" i="6"/>
  <c r="N8" i="6"/>
  <c r="M8" i="6"/>
  <c r="L8" i="6"/>
  <c r="K8" i="6"/>
  <c r="J8" i="6"/>
  <c r="I8" i="6"/>
  <c r="H8" i="6"/>
  <c r="G8" i="6"/>
  <c r="F8" i="6"/>
  <c r="E8" i="6"/>
  <c r="D8" i="6"/>
  <c r="C8" i="6"/>
  <c r="AD7" i="6"/>
  <c r="AC7" i="6"/>
  <c r="AB7" i="6"/>
  <c r="AA7" i="6"/>
  <c r="Z7" i="6"/>
  <c r="Y7" i="6"/>
  <c r="X7" i="6"/>
  <c r="W7" i="6"/>
  <c r="V7" i="6"/>
  <c r="U7" i="6"/>
  <c r="T7" i="6"/>
  <c r="S7" i="6"/>
  <c r="R7" i="6"/>
  <c r="Q7" i="6"/>
  <c r="P7" i="6"/>
  <c r="O7" i="6"/>
  <c r="N7" i="6"/>
  <c r="M7" i="6"/>
  <c r="L7" i="6"/>
  <c r="K7" i="6"/>
  <c r="J7" i="6"/>
  <c r="I7" i="6"/>
  <c r="H7" i="6"/>
  <c r="G7" i="6"/>
  <c r="F7" i="6"/>
  <c r="E7" i="6"/>
  <c r="D7" i="6"/>
  <c r="C7" i="6"/>
  <c r="AD6" i="6"/>
  <c r="AC6" i="6"/>
  <c r="AB6" i="6"/>
  <c r="AA6" i="6"/>
  <c r="Z6" i="6"/>
  <c r="Y6" i="6"/>
  <c r="X6" i="6"/>
  <c r="W6" i="6"/>
  <c r="V6" i="6"/>
  <c r="U6" i="6"/>
  <c r="T6" i="6"/>
  <c r="S6" i="6"/>
  <c r="R6" i="6"/>
  <c r="Q6" i="6"/>
  <c r="P6" i="6"/>
  <c r="O6" i="6"/>
  <c r="N6" i="6"/>
  <c r="M6" i="6"/>
  <c r="L6" i="6"/>
  <c r="K6" i="6"/>
  <c r="J6" i="6"/>
  <c r="I6" i="6"/>
  <c r="H6" i="6"/>
  <c r="G6" i="6"/>
  <c r="F6" i="6"/>
  <c r="E6" i="6"/>
  <c r="D6" i="6"/>
  <c r="C6" i="6"/>
  <c r="AD5" i="6"/>
  <c r="AC5" i="6"/>
  <c r="AB5" i="6"/>
  <c r="AA5" i="6"/>
  <c r="Z5" i="6"/>
  <c r="Y5" i="6"/>
  <c r="X5" i="6"/>
  <c r="W5" i="6"/>
  <c r="V5" i="6"/>
  <c r="U5" i="6"/>
  <c r="T5" i="6"/>
  <c r="S5" i="6"/>
  <c r="R5" i="6"/>
  <c r="Q5" i="6"/>
  <c r="P5" i="6"/>
  <c r="O5" i="6"/>
  <c r="N5" i="6"/>
  <c r="M5" i="6"/>
  <c r="L5" i="6"/>
  <c r="K5" i="6"/>
  <c r="J5" i="6"/>
  <c r="I5" i="6"/>
  <c r="H5" i="6"/>
  <c r="G5" i="6"/>
  <c r="F5" i="6"/>
  <c r="E5" i="6"/>
  <c r="D5" i="6"/>
  <c r="C5" i="6"/>
  <c r="AD4" i="6"/>
  <c r="AC4" i="6"/>
  <c r="AB4" i="6"/>
  <c r="AA4" i="6"/>
  <c r="Z4" i="6"/>
  <c r="Y4" i="6"/>
  <c r="X4" i="6"/>
  <c r="W4" i="6"/>
  <c r="V4" i="6"/>
  <c r="U4" i="6"/>
  <c r="T4" i="6"/>
  <c r="S4" i="6"/>
  <c r="R4" i="6"/>
  <c r="Q4" i="6"/>
  <c r="P4" i="6"/>
  <c r="O4" i="6"/>
  <c r="N4" i="6"/>
  <c r="M4" i="6"/>
  <c r="L4" i="6"/>
  <c r="K4" i="6"/>
  <c r="J4" i="6"/>
  <c r="I4" i="6"/>
  <c r="H4" i="6"/>
  <c r="G4" i="6"/>
  <c r="F4" i="6"/>
  <c r="E4" i="6"/>
  <c r="D4" i="6"/>
  <c r="C4" i="6"/>
  <c r="AD3" i="6"/>
  <c r="AC3" i="6"/>
  <c r="AB3" i="6"/>
  <c r="AA3" i="6"/>
  <c r="Z3" i="6"/>
  <c r="Y3" i="6"/>
  <c r="X3" i="6"/>
  <c r="W3" i="6"/>
  <c r="V3" i="6"/>
  <c r="U3" i="6"/>
  <c r="T3" i="6"/>
  <c r="S3" i="6"/>
  <c r="R3" i="6"/>
  <c r="Q3" i="6"/>
  <c r="P3" i="6"/>
  <c r="O3" i="6"/>
  <c r="N3" i="6"/>
  <c r="M3" i="6"/>
  <c r="L3" i="6"/>
  <c r="K3" i="6"/>
  <c r="J3" i="6"/>
  <c r="I3" i="6"/>
  <c r="H3" i="6"/>
  <c r="G3" i="6"/>
  <c r="F3" i="6"/>
  <c r="E3" i="6"/>
  <c r="D3" i="6"/>
  <c r="C3" i="6"/>
  <c r="AD2" i="6"/>
  <c r="AC2" i="6"/>
  <c r="AB2" i="6"/>
  <c r="AA2" i="6"/>
  <c r="Z2" i="6"/>
  <c r="Y2" i="6"/>
  <c r="X2" i="6"/>
  <c r="W2" i="6"/>
  <c r="V2" i="6"/>
  <c r="U2" i="6"/>
  <c r="T2" i="6"/>
  <c r="S2" i="6"/>
  <c r="R2" i="6"/>
  <c r="Q2" i="6"/>
  <c r="P2" i="6"/>
  <c r="O2" i="6"/>
  <c r="N2" i="6"/>
  <c r="M2" i="6"/>
  <c r="L2" i="6"/>
  <c r="K2" i="6"/>
  <c r="J2" i="6"/>
  <c r="I2" i="6"/>
  <c r="H2" i="6"/>
  <c r="G2" i="6"/>
  <c r="F2" i="6"/>
  <c r="E2" i="6"/>
  <c r="D2" i="6"/>
  <c r="C2" i="6"/>
  <c r="X9" i="3"/>
  <c r="X8" i="3"/>
  <c r="X7" i="3"/>
  <c r="X5" i="3"/>
  <c r="X4" i="3"/>
  <c r="X3" i="3"/>
  <c r="X2" i="3"/>
  <c r="C10" i="3"/>
  <c r="D10" i="3"/>
  <c r="E10" i="3"/>
  <c r="F10" i="3"/>
  <c r="G10" i="3"/>
  <c r="H10" i="3"/>
  <c r="I10" i="3"/>
  <c r="W6" i="3" s="1"/>
  <c r="J10" i="3"/>
  <c r="P10" i="3"/>
  <c r="C11" i="3"/>
  <c r="D11" i="3"/>
  <c r="E11" i="3"/>
  <c r="F11" i="3"/>
  <c r="G11" i="3"/>
  <c r="H11" i="3"/>
  <c r="I11" i="3"/>
  <c r="J11" i="3"/>
  <c r="P11" i="3"/>
  <c r="C12" i="3"/>
  <c r="D12" i="3"/>
  <c r="E12" i="3"/>
  <c r="F12" i="3"/>
  <c r="G12" i="3"/>
  <c r="H12" i="3"/>
  <c r="I12" i="3"/>
  <c r="J12" i="3"/>
  <c r="P12" i="3"/>
  <c r="B12" i="3"/>
  <c r="B11" i="3"/>
  <c r="B10" i="3"/>
  <c r="AI5" i="4"/>
  <c r="AJ5" i="4" s="1"/>
  <c r="AK5" i="4"/>
  <c r="AL5" i="4"/>
  <c r="AN5" i="4"/>
  <c r="AO5" i="4"/>
  <c r="AQ5" i="4"/>
  <c r="AS5" i="4"/>
  <c r="AI6" i="4"/>
  <c r="AJ6" i="4" s="1"/>
  <c r="AK6" i="4"/>
  <c r="AO6" i="4"/>
  <c r="AQ6" i="4"/>
  <c r="AS6" i="4"/>
  <c r="AI7" i="4"/>
  <c r="AJ7" i="4" s="1"/>
  <c r="AK7" i="4"/>
  <c r="AO7" i="4"/>
  <c r="AQ7" i="4"/>
  <c r="AS7" i="4"/>
  <c r="AI8" i="4"/>
  <c r="AJ8" i="4" s="1"/>
  <c r="AK8" i="4"/>
  <c r="AO8" i="4"/>
  <c r="AQ8" i="4"/>
  <c r="AS8" i="4"/>
  <c r="AI9" i="4"/>
  <c r="AJ9" i="4" s="1"/>
  <c r="AK9" i="4"/>
  <c r="AO9" i="4"/>
  <c r="AQ9" i="4"/>
  <c r="AS9" i="4"/>
  <c r="AI11" i="4"/>
  <c r="AJ11" i="4" s="1"/>
  <c r="AK11" i="4"/>
  <c r="AO11" i="4"/>
  <c r="AQ11" i="4"/>
  <c r="AS11" i="4"/>
  <c r="AI12" i="4"/>
  <c r="AJ12" i="4" s="1"/>
  <c r="AK12" i="4"/>
  <c r="AO12" i="4"/>
  <c r="AQ12" i="4"/>
  <c r="AS12" i="4"/>
  <c r="AI13" i="4"/>
  <c r="AJ13" i="4"/>
  <c r="AK13" i="4"/>
  <c r="AO13" i="4"/>
  <c r="AQ13" i="4"/>
  <c r="AS13" i="4"/>
  <c r="AI14" i="4"/>
  <c r="AJ14" i="4" s="1"/>
  <c r="AK14" i="4"/>
  <c r="AO14" i="4"/>
  <c r="AQ14" i="4"/>
  <c r="AS14" i="4"/>
  <c r="AI15" i="4"/>
  <c r="AJ15" i="4" s="1"/>
  <c r="AK15" i="4"/>
  <c r="AO15" i="4"/>
  <c r="AQ15" i="4"/>
  <c r="AS15" i="4"/>
  <c r="AI17" i="4"/>
  <c r="AJ17" i="4" s="1"/>
  <c r="AK17" i="4"/>
  <c r="AO17" i="4"/>
  <c r="AQ17" i="4"/>
  <c r="AS17" i="4"/>
  <c r="AI18" i="4"/>
  <c r="AJ18" i="4" s="1"/>
  <c r="AK18" i="4"/>
  <c r="AO18" i="4"/>
  <c r="AQ18" i="4"/>
  <c r="AS18" i="4"/>
  <c r="AI19" i="4"/>
  <c r="AJ19" i="4" s="1"/>
  <c r="AK19" i="4"/>
  <c r="AO19" i="4"/>
  <c r="AQ19" i="4"/>
  <c r="AS19" i="4"/>
  <c r="AI20" i="4"/>
  <c r="AJ20" i="4" s="1"/>
  <c r="AK20" i="4"/>
  <c r="AO20" i="4"/>
  <c r="AQ20" i="4"/>
  <c r="AS20" i="4"/>
  <c r="AI22" i="4"/>
  <c r="AJ22" i="4" s="1"/>
  <c r="AK22" i="4"/>
  <c r="AO22" i="4"/>
  <c r="AQ22" i="4"/>
  <c r="AS22" i="4"/>
  <c r="AI23" i="4"/>
  <c r="AJ23" i="4" s="1"/>
  <c r="AK23" i="4"/>
  <c r="AO23" i="4"/>
  <c r="AQ23" i="4"/>
  <c r="AS23" i="4"/>
  <c r="AI24" i="4"/>
  <c r="AJ24" i="4" s="1"/>
  <c r="AK24" i="4"/>
  <c r="AO24" i="4"/>
  <c r="AQ24" i="4"/>
  <c r="AS24" i="4"/>
  <c r="AI25" i="4"/>
  <c r="AJ25" i="4" s="1"/>
  <c r="AK25" i="4"/>
  <c r="AO25" i="4"/>
  <c r="AQ25" i="4"/>
  <c r="AS25" i="4"/>
  <c r="AI27" i="4"/>
  <c r="AJ27" i="4" s="1"/>
  <c r="AK27" i="4"/>
  <c r="AO27" i="4"/>
  <c r="AQ27" i="4"/>
  <c r="AS27" i="4"/>
  <c r="AI28" i="4"/>
  <c r="AJ28" i="4" s="1"/>
  <c r="AK28" i="4"/>
  <c r="AO28" i="4"/>
  <c r="AQ28" i="4"/>
  <c r="AS28" i="4"/>
  <c r="AI29" i="4"/>
  <c r="AJ29" i="4" s="1"/>
  <c r="AK29" i="4"/>
  <c r="AO29" i="4"/>
  <c r="AQ29" i="4"/>
  <c r="AS29" i="4"/>
  <c r="AI30" i="4"/>
  <c r="AJ30" i="4" s="1"/>
  <c r="AK30" i="4"/>
  <c r="AO30" i="4"/>
  <c r="AQ30" i="4"/>
  <c r="AS30" i="4"/>
  <c r="AI32" i="4"/>
  <c r="AJ32" i="4" s="1"/>
  <c r="AK32" i="4"/>
  <c r="AO32" i="4"/>
  <c r="AQ32" i="4"/>
  <c r="AS32" i="4"/>
  <c r="AI33" i="4"/>
  <c r="AJ33" i="4" s="1"/>
  <c r="AK33" i="4"/>
  <c r="AO33" i="4"/>
  <c r="AQ33" i="4"/>
  <c r="AS33" i="4"/>
  <c r="AI34" i="4"/>
  <c r="AJ34" i="4" s="1"/>
  <c r="AK34" i="4"/>
  <c r="AO34" i="4"/>
  <c r="AQ34" i="4"/>
  <c r="AS34" i="4"/>
  <c r="AI35" i="4"/>
  <c r="AJ35" i="4" s="1"/>
  <c r="AK35" i="4"/>
  <c r="AO35" i="4"/>
  <c r="AQ35" i="4"/>
  <c r="AS35" i="4"/>
  <c r="AS3" i="4"/>
  <c r="AQ3" i="4"/>
  <c r="AO3" i="4"/>
  <c r="AK3" i="4"/>
  <c r="AI3" i="4"/>
  <c r="AJ3" i="4" s="1"/>
  <c r="E3" i="4"/>
  <c r="D3" i="7" s="1"/>
  <c r="D4" i="7"/>
  <c r="I3" i="4"/>
  <c r="D5" i="7" s="1"/>
  <c r="K3" i="4"/>
  <c r="D6" i="7" s="1"/>
  <c r="M3" i="4"/>
  <c r="D7" i="7" s="1"/>
  <c r="O3" i="4"/>
  <c r="D8" i="7" s="1"/>
  <c r="Q3" i="4"/>
  <c r="D9" i="7" s="1"/>
  <c r="S3" i="4"/>
  <c r="U3" i="4"/>
  <c r="W3" i="4"/>
  <c r="Y3" i="4"/>
  <c r="AA3" i="4"/>
  <c r="AC3" i="4"/>
  <c r="AE3" i="4"/>
  <c r="E6" i="4"/>
  <c r="E3" i="7" s="1"/>
  <c r="E4" i="7"/>
  <c r="I6" i="4"/>
  <c r="E5" i="7" s="1"/>
  <c r="K6" i="4"/>
  <c r="E6" i="7" s="1"/>
  <c r="M6" i="4"/>
  <c r="E7" i="7"/>
  <c r="O6" i="4"/>
  <c r="E8" i="7" s="1"/>
  <c r="Q6" i="4"/>
  <c r="S6" i="4"/>
  <c r="U6" i="4"/>
  <c r="W6" i="4"/>
  <c r="Y6" i="4"/>
  <c r="AA6" i="4"/>
  <c r="AC6" i="4"/>
  <c r="AE6" i="4"/>
  <c r="E7" i="4"/>
  <c r="F3" i="7" s="1"/>
  <c r="I7" i="4"/>
  <c r="F5" i="7" s="1"/>
  <c r="K7" i="4"/>
  <c r="F6" i="7"/>
  <c r="M7" i="4"/>
  <c r="F7" i="7" s="1"/>
  <c r="O7" i="4"/>
  <c r="F8" i="7" s="1"/>
  <c r="Q7" i="4"/>
  <c r="F9" i="7" s="1"/>
  <c r="S7" i="4"/>
  <c r="U7" i="4"/>
  <c r="W7" i="4"/>
  <c r="Y7" i="4"/>
  <c r="AA7" i="4"/>
  <c r="AC7" i="4"/>
  <c r="AE7" i="4"/>
  <c r="E8" i="4"/>
  <c r="G3" i="7" s="1"/>
  <c r="G4" i="7"/>
  <c r="I8" i="4"/>
  <c r="G5" i="7" s="1"/>
  <c r="K8" i="4"/>
  <c r="G6" i="7" s="1"/>
  <c r="M8" i="4"/>
  <c r="G7" i="7" s="1"/>
  <c r="O8" i="4"/>
  <c r="G8" i="7" s="1"/>
  <c r="Q8" i="4"/>
  <c r="G9" i="7" s="1"/>
  <c r="S8" i="4"/>
  <c r="U8" i="4"/>
  <c r="W8" i="4"/>
  <c r="Y8" i="4"/>
  <c r="AA8" i="4"/>
  <c r="AC8" i="4"/>
  <c r="AE8" i="4"/>
  <c r="E9" i="4"/>
  <c r="H3" i="7" s="1"/>
  <c r="H4" i="7"/>
  <c r="I9" i="4"/>
  <c r="H5" i="7" s="1"/>
  <c r="K9" i="4"/>
  <c r="H6" i="7" s="1"/>
  <c r="M9" i="4"/>
  <c r="H7" i="7" s="1"/>
  <c r="O9" i="4"/>
  <c r="H8" i="7" s="1"/>
  <c r="Q9" i="4"/>
  <c r="H9" i="7" s="1"/>
  <c r="S9" i="4"/>
  <c r="U9" i="4"/>
  <c r="W9" i="4"/>
  <c r="Y9" i="4"/>
  <c r="AA9" i="4"/>
  <c r="AC9" i="4"/>
  <c r="AE9" i="4"/>
  <c r="E11" i="4"/>
  <c r="I4" i="7"/>
  <c r="I11" i="4"/>
  <c r="I5" i="7" s="1"/>
  <c r="K11" i="4"/>
  <c r="I6" i="7" s="1"/>
  <c r="M11" i="4"/>
  <c r="I7" i="7" s="1"/>
  <c r="O11" i="4"/>
  <c r="I8" i="7" s="1"/>
  <c r="Q11" i="4"/>
  <c r="I9" i="7" s="1"/>
  <c r="S11" i="4"/>
  <c r="U11" i="4"/>
  <c r="W11" i="4"/>
  <c r="Y11" i="4"/>
  <c r="AA11" i="4"/>
  <c r="AC11" i="4"/>
  <c r="AE11" i="4"/>
  <c r="E12" i="4"/>
  <c r="J3" i="7" s="1"/>
  <c r="I12" i="4"/>
  <c r="K12" i="4"/>
  <c r="J6" i="7" s="1"/>
  <c r="M12" i="4"/>
  <c r="J7" i="7" s="1"/>
  <c r="O12" i="4"/>
  <c r="J8" i="7" s="1"/>
  <c r="Q12" i="4"/>
  <c r="J9" i="7" s="1"/>
  <c r="S12" i="4"/>
  <c r="U12" i="4"/>
  <c r="W12" i="4"/>
  <c r="Y12" i="4"/>
  <c r="AA12" i="4"/>
  <c r="AC12" i="4"/>
  <c r="AE12" i="4"/>
  <c r="E13" i="4"/>
  <c r="K3" i="7" s="1"/>
  <c r="K4" i="7"/>
  <c r="I13" i="4"/>
  <c r="K5" i="7" s="1"/>
  <c r="K13" i="4"/>
  <c r="M13" i="4"/>
  <c r="K7" i="7" s="1"/>
  <c r="O13" i="4"/>
  <c r="K8" i="7" s="1"/>
  <c r="Q13" i="4"/>
  <c r="K9" i="7" s="1"/>
  <c r="S13" i="4"/>
  <c r="U13" i="4"/>
  <c r="W13" i="4"/>
  <c r="Y13" i="4"/>
  <c r="AA13" i="4"/>
  <c r="AC13" i="4"/>
  <c r="AE13" i="4"/>
  <c r="E14" i="4"/>
  <c r="L3" i="7" s="1"/>
  <c r="L4" i="7"/>
  <c r="I14" i="4"/>
  <c r="L5" i="7" s="1"/>
  <c r="K14" i="4"/>
  <c r="L6" i="7" s="1"/>
  <c r="M14" i="4"/>
  <c r="L7" i="7" s="1"/>
  <c r="O14" i="4"/>
  <c r="L8" i="7" s="1"/>
  <c r="Q14" i="4"/>
  <c r="L9" i="7" s="1"/>
  <c r="S14" i="4"/>
  <c r="U14" i="4"/>
  <c r="W14" i="4"/>
  <c r="Y14" i="4"/>
  <c r="AA14" i="4"/>
  <c r="AC14" i="4"/>
  <c r="AE14" i="4"/>
  <c r="E15" i="4"/>
  <c r="M3" i="7" s="1"/>
  <c r="I15" i="4"/>
  <c r="M5" i="7" s="1"/>
  <c r="K15" i="4"/>
  <c r="M6" i="7" s="1"/>
  <c r="M15" i="4"/>
  <c r="M7" i="7" s="1"/>
  <c r="O15" i="4"/>
  <c r="M8" i="7" s="1"/>
  <c r="Q15" i="4"/>
  <c r="M9" i="7" s="1"/>
  <c r="S15" i="4"/>
  <c r="U15" i="4"/>
  <c r="W15" i="4"/>
  <c r="Y15" i="4"/>
  <c r="AA15" i="4"/>
  <c r="AC15" i="4"/>
  <c r="AE15" i="4"/>
  <c r="E17" i="4"/>
  <c r="N3" i="7" s="1"/>
  <c r="N4" i="7"/>
  <c r="I17" i="4"/>
  <c r="K17" i="4"/>
  <c r="N6" i="7" s="1"/>
  <c r="M17" i="4"/>
  <c r="N7" i="7" s="1"/>
  <c r="O17" i="4"/>
  <c r="N8" i="7" s="1"/>
  <c r="Q17" i="4"/>
  <c r="N9" i="7" s="1"/>
  <c r="S17" i="4"/>
  <c r="U17" i="4"/>
  <c r="W17" i="4"/>
  <c r="Y17" i="4"/>
  <c r="AA17" i="4"/>
  <c r="AC17" i="4"/>
  <c r="AE17" i="4"/>
  <c r="E18" i="4"/>
  <c r="I18" i="4"/>
  <c r="O5" i="7" s="1"/>
  <c r="K18" i="4"/>
  <c r="O6" i="7" s="1"/>
  <c r="M18" i="4"/>
  <c r="O7" i="7" s="1"/>
  <c r="O18" i="4"/>
  <c r="O8" i="7" s="1"/>
  <c r="Q18" i="4"/>
  <c r="O9" i="7" s="1"/>
  <c r="S18" i="4"/>
  <c r="U18" i="4"/>
  <c r="W18" i="4"/>
  <c r="Y18" i="4"/>
  <c r="AA18" i="4"/>
  <c r="AC18" i="4"/>
  <c r="AE18" i="4"/>
  <c r="E19" i="4"/>
  <c r="P3" i="7" s="1"/>
  <c r="P4" i="7"/>
  <c r="I19" i="4"/>
  <c r="P5" i="7" s="1"/>
  <c r="K19" i="4"/>
  <c r="P6" i="7" s="1"/>
  <c r="M19" i="4"/>
  <c r="P7" i="7" s="1"/>
  <c r="O19" i="4"/>
  <c r="P8" i="7" s="1"/>
  <c r="Q19" i="4"/>
  <c r="P9" i="7" s="1"/>
  <c r="S19" i="4"/>
  <c r="U19" i="4"/>
  <c r="W19" i="4"/>
  <c r="Y19" i="4"/>
  <c r="AA19" i="4"/>
  <c r="AC19" i="4"/>
  <c r="AE19" i="4"/>
  <c r="E20" i="4"/>
  <c r="Q4" i="7"/>
  <c r="I20" i="4"/>
  <c r="Q5" i="7" s="1"/>
  <c r="K20" i="4"/>
  <c r="Q6" i="7" s="1"/>
  <c r="M20" i="4"/>
  <c r="Q7" i="7" s="1"/>
  <c r="O20" i="4"/>
  <c r="Q8" i="7" s="1"/>
  <c r="Q20" i="4"/>
  <c r="Q9" i="7" s="1"/>
  <c r="S20" i="4"/>
  <c r="U20" i="4"/>
  <c r="W20" i="4"/>
  <c r="Y20" i="4"/>
  <c r="AA20" i="4"/>
  <c r="AC20" i="4"/>
  <c r="AE20" i="4"/>
  <c r="E22" i="4"/>
  <c r="R3" i="7" s="1"/>
  <c r="I22" i="4"/>
  <c r="R5" i="7" s="1"/>
  <c r="K22" i="4"/>
  <c r="R6" i="7" s="1"/>
  <c r="M22" i="4"/>
  <c r="R7" i="7" s="1"/>
  <c r="O22" i="4"/>
  <c r="R8" i="7" s="1"/>
  <c r="Q22" i="4"/>
  <c r="R9" i="7" s="1"/>
  <c r="S22" i="4"/>
  <c r="U22" i="4"/>
  <c r="W22" i="4"/>
  <c r="Y22" i="4"/>
  <c r="AA22" i="4"/>
  <c r="AC22" i="4"/>
  <c r="AE22" i="4"/>
  <c r="E23" i="4"/>
  <c r="S3" i="7" s="1"/>
  <c r="I23" i="4"/>
  <c r="K23" i="4"/>
  <c r="S6" i="7" s="1"/>
  <c r="M23" i="4"/>
  <c r="S7" i="7" s="1"/>
  <c r="O23" i="4"/>
  <c r="S8" i="7" s="1"/>
  <c r="Q23" i="4"/>
  <c r="S9" i="7" s="1"/>
  <c r="S23" i="4"/>
  <c r="U23" i="4"/>
  <c r="W23" i="4"/>
  <c r="Y23" i="4"/>
  <c r="AA23" i="4"/>
  <c r="AC23" i="4"/>
  <c r="AE23" i="4"/>
  <c r="E24" i="4"/>
  <c r="T3" i="7" s="1"/>
  <c r="I24" i="4"/>
  <c r="K24" i="4"/>
  <c r="T6" i="7" s="1"/>
  <c r="M24" i="4"/>
  <c r="T7" i="7" s="1"/>
  <c r="O24" i="4"/>
  <c r="T8" i="7" s="1"/>
  <c r="Q24" i="4"/>
  <c r="T9" i="7" s="1"/>
  <c r="S24" i="4"/>
  <c r="U24" i="4"/>
  <c r="W24" i="4"/>
  <c r="Y24" i="4"/>
  <c r="AA24" i="4"/>
  <c r="AC24" i="4"/>
  <c r="AE24" i="4"/>
  <c r="E25" i="4"/>
  <c r="I25" i="4"/>
  <c r="U5" i="7" s="1"/>
  <c r="K25" i="4"/>
  <c r="U6" i="7" s="1"/>
  <c r="M25" i="4"/>
  <c r="U7" i="7" s="1"/>
  <c r="O25" i="4"/>
  <c r="U8" i="7" s="1"/>
  <c r="Q25" i="4"/>
  <c r="U9" i="7" s="1"/>
  <c r="S25" i="4"/>
  <c r="U25" i="4"/>
  <c r="W25" i="4"/>
  <c r="Y25" i="4"/>
  <c r="AA25" i="4"/>
  <c r="AC25" i="4"/>
  <c r="AE25" i="4"/>
  <c r="E27" i="4"/>
  <c r="V3" i="7" s="1"/>
  <c r="V4" i="7"/>
  <c r="I27" i="4"/>
  <c r="V5" i="7" s="1"/>
  <c r="K27" i="4"/>
  <c r="V6" i="7" s="1"/>
  <c r="M27" i="4"/>
  <c r="V7" i="7" s="1"/>
  <c r="O27" i="4"/>
  <c r="V8" i="7" s="1"/>
  <c r="Q27" i="4"/>
  <c r="V9" i="7" s="1"/>
  <c r="S27" i="4"/>
  <c r="U27" i="4"/>
  <c r="W27" i="4"/>
  <c r="Y27" i="4"/>
  <c r="AA27" i="4"/>
  <c r="AC27" i="4"/>
  <c r="AE27" i="4"/>
  <c r="E28" i="4"/>
  <c r="W3" i="7" s="1"/>
  <c r="W4" i="7"/>
  <c r="I28" i="4"/>
  <c r="W5" i="7" s="1"/>
  <c r="K28" i="4"/>
  <c r="W6" i="7" s="1"/>
  <c r="M28" i="4"/>
  <c r="O28" i="4"/>
  <c r="W8" i="7" s="1"/>
  <c r="Q28" i="4"/>
  <c r="W9" i="7" s="1"/>
  <c r="S28" i="4"/>
  <c r="U28" i="4"/>
  <c r="W28" i="4"/>
  <c r="Y28" i="4"/>
  <c r="AA28" i="4"/>
  <c r="AC28" i="4"/>
  <c r="AE28" i="4"/>
  <c r="E29" i="4"/>
  <c r="X3" i="7" s="1"/>
  <c r="I29" i="4"/>
  <c r="X5" i="7" s="1"/>
  <c r="K29" i="4"/>
  <c r="X6" i="7" s="1"/>
  <c r="M29" i="4"/>
  <c r="X7" i="7" s="1"/>
  <c r="O29" i="4"/>
  <c r="X8" i="7" s="1"/>
  <c r="Q29" i="4"/>
  <c r="X9" i="7" s="1"/>
  <c r="S29" i="4"/>
  <c r="U29" i="4"/>
  <c r="W29" i="4"/>
  <c r="Y29" i="4"/>
  <c r="AA29" i="4"/>
  <c r="AC29" i="4"/>
  <c r="AE29" i="4"/>
  <c r="E30" i="4"/>
  <c r="Y3" i="7" s="1"/>
  <c r="Y4" i="7"/>
  <c r="I30" i="4"/>
  <c r="Y5" i="7" s="1"/>
  <c r="K30" i="4"/>
  <c r="Y6" i="7" s="1"/>
  <c r="M30" i="4"/>
  <c r="Y7" i="7" s="1"/>
  <c r="O30" i="4"/>
  <c r="Y8" i="7" s="1"/>
  <c r="Q30" i="4"/>
  <c r="Y9" i="7" s="1"/>
  <c r="S30" i="4"/>
  <c r="U30" i="4"/>
  <c r="W30" i="4"/>
  <c r="Y30" i="4"/>
  <c r="AA30" i="4"/>
  <c r="AC30" i="4"/>
  <c r="AE30" i="4"/>
  <c r="E32" i="4"/>
  <c r="Z3" i="7" s="1"/>
  <c r="I32" i="4"/>
  <c r="Z5" i="7" s="1"/>
  <c r="K32" i="4"/>
  <c r="Z6" i="7" s="1"/>
  <c r="M32" i="4"/>
  <c r="Z7" i="7" s="1"/>
  <c r="O32" i="4"/>
  <c r="Z8" i="7" s="1"/>
  <c r="Q32" i="4"/>
  <c r="Z9" i="7" s="1"/>
  <c r="S32" i="4"/>
  <c r="U32" i="4"/>
  <c r="W32" i="4"/>
  <c r="Y32" i="4"/>
  <c r="AA32" i="4"/>
  <c r="AC32" i="4"/>
  <c r="AE32" i="4"/>
  <c r="E33" i="4"/>
  <c r="AA3" i="7" s="1"/>
  <c r="I33" i="4"/>
  <c r="AA5" i="7" s="1"/>
  <c r="K33" i="4"/>
  <c r="AA6" i="7" s="1"/>
  <c r="M33" i="4"/>
  <c r="AA7" i="7" s="1"/>
  <c r="O33" i="4"/>
  <c r="AA8" i="7" s="1"/>
  <c r="Q33" i="4"/>
  <c r="AA9" i="7" s="1"/>
  <c r="S33" i="4"/>
  <c r="U33" i="4"/>
  <c r="W33" i="4"/>
  <c r="Y33" i="4"/>
  <c r="AA33" i="4"/>
  <c r="AC33" i="4"/>
  <c r="AE33" i="4"/>
  <c r="E34" i="4"/>
  <c r="AB4" i="7"/>
  <c r="I34" i="4"/>
  <c r="AB5" i="7" s="1"/>
  <c r="K34" i="4"/>
  <c r="AB6" i="7" s="1"/>
  <c r="M34" i="4"/>
  <c r="AB7" i="7" s="1"/>
  <c r="O34" i="4"/>
  <c r="AB8" i="7" s="1"/>
  <c r="Q34" i="4"/>
  <c r="AB9" i="7" s="1"/>
  <c r="S34" i="4"/>
  <c r="U34" i="4"/>
  <c r="W34" i="4"/>
  <c r="Y34" i="4"/>
  <c r="AA34" i="4"/>
  <c r="AC34" i="4"/>
  <c r="AE34" i="4"/>
  <c r="E35" i="4"/>
  <c r="AC3" i="7" s="1"/>
  <c r="I35" i="4"/>
  <c r="AC5" i="7" s="1"/>
  <c r="K35" i="4"/>
  <c r="AC6" i="7" s="1"/>
  <c r="M35" i="4"/>
  <c r="AC7" i="7" s="1"/>
  <c r="O35" i="4"/>
  <c r="AC8" i="7" s="1"/>
  <c r="Q35" i="4"/>
  <c r="AC9" i="7" s="1"/>
  <c r="S35" i="4"/>
  <c r="U35" i="4"/>
  <c r="W35" i="4"/>
  <c r="Y35" i="4"/>
  <c r="AA35" i="4"/>
  <c r="AC35" i="4"/>
  <c r="AE35" i="4"/>
  <c r="C35" i="4"/>
  <c r="AT35" i="4" s="1"/>
  <c r="C34" i="4"/>
  <c r="AB2" i="7" s="1"/>
  <c r="C33" i="4"/>
  <c r="AA2" i="7" s="1"/>
  <c r="C32" i="4"/>
  <c r="Z2" i="7" s="1"/>
  <c r="C30" i="4"/>
  <c r="Y2" i="7" s="1"/>
  <c r="C29" i="4"/>
  <c r="AT29" i="4" s="1"/>
  <c r="C28" i="4"/>
  <c r="AT28" i="4" s="1"/>
  <c r="C27" i="4"/>
  <c r="AT27" i="4" s="1"/>
  <c r="C25" i="4"/>
  <c r="AT25" i="4" s="1"/>
  <c r="C24" i="4"/>
  <c r="AT24" i="4" s="1"/>
  <c r="C23" i="4"/>
  <c r="C22" i="4"/>
  <c r="C20" i="4"/>
  <c r="Q2" i="7" s="1"/>
  <c r="C19" i="4"/>
  <c r="P2" i="7" s="1"/>
  <c r="C18" i="4"/>
  <c r="O2" i="7" s="1"/>
  <c r="C17" i="4"/>
  <c r="N2" i="7" s="1"/>
  <c r="C15" i="4"/>
  <c r="AT15" i="4" s="1"/>
  <c r="C14" i="4"/>
  <c r="C13" i="4"/>
  <c r="C12" i="4"/>
  <c r="J2" i="7" s="1"/>
  <c r="C11" i="4"/>
  <c r="AT11" i="4" s="1"/>
  <c r="C7" i="4"/>
  <c r="F2" i="7" s="1"/>
  <c r="C8" i="4"/>
  <c r="AT8" i="4" s="1"/>
  <c r="C9" i="4"/>
  <c r="AT9" i="4" s="1"/>
  <c r="C6" i="4"/>
  <c r="E2" i="7" s="1"/>
  <c r="C3" i="4"/>
  <c r="D2" i="7" s="1"/>
  <c r="AG31" i="4"/>
  <c r="AG26" i="4"/>
  <c r="AG21" i="4"/>
  <c r="AG10" i="4"/>
  <c r="AG16" i="4"/>
  <c r="AG4" i="4"/>
  <c r="AH35" i="4"/>
  <c r="AG35" i="4"/>
  <c r="AH34" i="4"/>
  <c r="AG34" i="4"/>
  <c r="AH33" i="4"/>
  <c r="AG33" i="4"/>
  <c r="AH32" i="4"/>
  <c r="AG32" i="4"/>
  <c r="AH30" i="4"/>
  <c r="AG30" i="4"/>
  <c r="AH29" i="4"/>
  <c r="AG29" i="4"/>
  <c r="AH28" i="4"/>
  <c r="AG28" i="4"/>
  <c r="AH27" i="4"/>
  <c r="AG27" i="4"/>
  <c r="AH25" i="4"/>
  <c r="AG25" i="4"/>
  <c r="AH24" i="4"/>
  <c r="AG24" i="4"/>
  <c r="AH23" i="4"/>
  <c r="AG23" i="4"/>
  <c r="AH22" i="4"/>
  <c r="AG22" i="4"/>
  <c r="AH20" i="4"/>
  <c r="AG20" i="4"/>
  <c r="AH19" i="4"/>
  <c r="AG19" i="4"/>
  <c r="AH18" i="4"/>
  <c r="AG18" i="4"/>
  <c r="AH17" i="4"/>
  <c r="AG17" i="4"/>
  <c r="AH15" i="4"/>
  <c r="AG15" i="4"/>
  <c r="AH14" i="4"/>
  <c r="AG14" i="4"/>
  <c r="AH13" i="4"/>
  <c r="AG13" i="4"/>
  <c r="AH12" i="4"/>
  <c r="AG12" i="4"/>
  <c r="AH11" i="4"/>
  <c r="AG11" i="4"/>
  <c r="AH9" i="4"/>
  <c r="AG9" i="4"/>
  <c r="AH8" i="4"/>
  <c r="AG8" i="4"/>
  <c r="AH7" i="4"/>
  <c r="AG7" i="4"/>
  <c r="AH6" i="4"/>
  <c r="AG6" i="4"/>
  <c r="AH5" i="4"/>
  <c r="AG5" i="4"/>
  <c r="AH3" i="4"/>
  <c r="AG3" i="4"/>
  <c r="S9" i="3"/>
  <c r="S8" i="3"/>
  <c r="S5" i="3"/>
  <c r="S4" i="3"/>
  <c r="S3" i="3"/>
  <c r="S2" i="3"/>
  <c r="S7" i="3"/>
  <c r="T6" i="3"/>
  <c r="U6" i="3" s="1"/>
  <c r="H2" i="8"/>
  <c r="V6" i="3" l="1"/>
  <c r="S6" i="3"/>
  <c r="X6" i="3"/>
  <c r="AT3" i="4"/>
  <c r="AT17" i="4"/>
  <c r="AT18" i="4"/>
  <c r="U2" i="7"/>
  <c r="T2" i="7"/>
  <c r="AT32" i="4"/>
  <c r="AT12" i="4"/>
  <c r="W2" i="7"/>
  <c r="H2" i="7"/>
  <c r="AR6" i="4"/>
  <c r="G2" i="7"/>
  <c r="AT33" i="4"/>
  <c r="AT34" i="4"/>
  <c r="AR33" i="4"/>
  <c r="AN33" i="4"/>
  <c r="AR27" i="4"/>
  <c r="V2" i="7"/>
  <c r="AN19" i="4"/>
  <c r="E9" i="7"/>
  <c r="AL20" i="4"/>
  <c r="AM20" i="4" s="1"/>
  <c r="AN8" i="4"/>
  <c r="AP8" i="4"/>
  <c r="AL6" i="4"/>
  <c r="AM6" i="4" s="1"/>
  <c r="AN27" i="4"/>
  <c r="AP32" i="4"/>
  <c r="AL28" i="4"/>
  <c r="AM28" i="4" s="1"/>
  <c r="AR8" i="4"/>
  <c r="AL14" i="4"/>
  <c r="AM14" i="4" s="1"/>
  <c r="AL33" i="4"/>
  <c r="AM33" i="4" s="1"/>
  <c r="AN17" i="4"/>
  <c r="AL15" i="4"/>
  <c r="AM15" i="4" s="1"/>
  <c r="AP28" i="4"/>
  <c r="AP14" i="4"/>
  <c r="AL13" i="4"/>
  <c r="AM13" i="4" s="1"/>
  <c r="AL19" i="4"/>
  <c r="AM19" i="4" s="1"/>
  <c r="AR15" i="4"/>
  <c r="W7" i="7"/>
  <c r="AP33" i="4"/>
  <c r="AL22" i="4"/>
  <c r="AM22" i="4" s="1"/>
  <c r="AL12" i="4"/>
  <c r="AM12" i="4" s="1"/>
  <c r="AN32" i="4"/>
  <c r="AP3" i="4"/>
  <c r="AR32" i="4"/>
  <c r="K6" i="7"/>
  <c r="AL30" i="4"/>
  <c r="AM30" i="4" s="1"/>
  <c r="AP9" i="4"/>
  <c r="AP23" i="4"/>
  <c r="AP30" i="4"/>
  <c r="AN28" i="4"/>
  <c r="AP24" i="4"/>
  <c r="AR3" i="4"/>
  <c r="AP35" i="4"/>
  <c r="AN25" i="4"/>
  <c r="AN12" i="4"/>
  <c r="AP12" i="4"/>
  <c r="AR28" i="4"/>
  <c r="T5" i="7"/>
  <c r="AR17" i="4"/>
  <c r="J5" i="7"/>
  <c r="AL27" i="4"/>
  <c r="AM27" i="4" s="1"/>
  <c r="AR12" i="4"/>
  <c r="AP17" i="4"/>
  <c r="AR13" i="4"/>
  <c r="AR25" i="4"/>
  <c r="AP20" i="4"/>
  <c r="AR7" i="4"/>
  <c r="S5" i="7"/>
  <c r="N5" i="7"/>
  <c r="AL17" i="4"/>
  <c r="AM17" i="4" s="1"/>
  <c r="AL34" i="4"/>
  <c r="AM34" i="4" s="1"/>
  <c r="AN34" i="4"/>
  <c r="AP27" i="4"/>
  <c r="AN18" i="4"/>
  <c r="AP11" i="4"/>
  <c r="I3" i="7"/>
  <c r="AP25" i="4"/>
  <c r="AR34" i="4"/>
  <c r="AN3" i="4"/>
  <c r="AL25" i="4"/>
  <c r="AM25" i="4" s="1"/>
  <c r="AP34" i="4"/>
  <c r="AN20" i="4"/>
  <c r="Q3" i="7"/>
  <c r="AB3" i="7"/>
  <c r="AL11" i="4"/>
  <c r="AM11" i="4" s="1"/>
  <c r="U3" i="7"/>
  <c r="AL3" i="4"/>
  <c r="AM3" i="4" s="1"/>
  <c r="AR18" i="4"/>
  <c r="AP6" i="4"/>
  <c r="AN9" i="4"/>
  <c r="AL32" i="4"/>
  <c r="AM32" i="4" s="1"/>
  <c r="O3" i="7"/>
  <c r="AR30" i="4"/>
  <c r="AR9" i="4"/>
  <c r="AN23" i="4"/>
  <c r="AR20" i="4"/>
  <c r="AP18" i="4"/>
  <c r="AL8" i="4"/>
  <c r="AM8" i="4" s="1"/>
  <c r="AN14" i="4"/>
  <c r="AR23" i="4"/>
  <c r="AT23" i="4"/>
  <c r="AT6" i="4"/>
  <c r="AR35" i="4"/>
  <c r="R2" i="7"/>
  <c r="AR14" i="4"/>
  <c r="AL23" i="4"/>
  <c r="AM23" i="4" s="1"/>
  <c r="AN11" i="4"/>
  <c r="AN24" i="4"/>
  <c r="AL29" i="4"/>
  <c r="AM29" i="4" s="1"/>
  <c r="AP22" i="4"/>
  <c r="AT7" i="4"/>
  <c r="AL18" i="4"/>
  <c r="AM18" i="4" s="1"/>
  <c r="AT13" i="4"/>
  <c r="AR19" i="4"/>
  <c r="AR22" i="4"/>
  <c r="AC2" i="7"/>
  <c r="AL24" i="4"/>
  <c r="AM24" i="4" s="1"/>
  <c r="AP7" i="4"/>
  <c r="S2" i="7"/>
  <c r="AR11" i="4"/>
  <c r="AR29" i="4"/>
  <c r="AN29" i="4"/>
  <c r="AN6" i="4"/>
  <c r="AT14" i="4"/>
  <c r="AT19" i="4"/>
  <c r="AT22" i="4"/>
  <c r="M2" i="7"/>
  <c r="L2" i="7"/>
  <c r="AL9" i="4"/>
  <c r="AM9" i="4" s="1"/>
  <c r="AN15" i="4"/>
  <c r="AR24" i="4"/>
  <c r="AL7" i="4"/>
  <c r="AM7" i="4" s="1"/>
  <c r="AP15" i="4"/>
  <c r="AT20" i="4"/>
  <c r="K2" i="7"/>
  <c r="I2" i="7"/>
  <c r="AN22" i="4"/>
  <c r="AN30" i="4"/>
  <c r="AP29" i="4"/>
  <c r="X2" i="7"/>
  <c r="AP13" i="4"/>
  <c r="AT30" i="4"/>
  <c r="AN13" i="4"/>
  <c r="AP19" i="4"/>
  <c r="AL35" i="4"/>
  <c r="AM35" i="4" s="1"/>
  <c r="AN7" i="4"/>
  <c r="AN35" i="4"/>
</calcChain>
</file>

<file path=xl/sharedStrings.xml><?xml version="1.0" encoding="utf-8"?>
<sst xmlns="http://schemas.openxmlformats.org/spreadsheetml/2006/main" count="212" uniqueCount="100">
  <si>
    <t>MEAN</t>
  </si>
  <si>
    <t>SD</t>
  </si>
  <si>
    <t>N</t>
  </si>
  <si>
    <t>Eyes</t>
  </si>
  <si>
    <t>Diameter of egg without processes</t>
  </si>
  <si>
    <t>Diameter of egg with processes</t>
  </si>
  <si>
    <t>pt</t>
  </si>
  <si>
    <t>Lunules IV with teeth</t>
  </si>
  <si>
    <t>Cuticular pores</t>
  </si>
  <si>
    <t>Distance between processes</t>
  </si>
  <si>
    <t>Granulation on legs I</t>
  </si>
  <si>
    <t>Granulation on legs II</t>
  </si>
  <si>
    <t>Granulation on legs III</t>
  </si>
  <si>
    <t>Granulation on legs IV</t>
  </si>
  <si>
    <t>Process base/height ratio</t>
  </si>
  <si>
    <t>–</t>
  </si>
  <si>
    <t>µm</t>
  </si>
  <si>
    <t>Terminal disc width</t>
  </si>
  <si>
    <t>CHARACTER</t>
  </si>
  <si>
    <t>RANGE</t>
  </si>
  <si>
    <t>Holotype</t>
  </si>
  <si>
    <t>SPECIMEN</t>
  </si>
  <si>
    <t>Lunules I with teeth</t>
  </si>
  <si>
    <t>Lunules II with teeth</t>
  </si>
  <si>
    <t>Lunules III with teeth</t>
  </si>
  <si>
    <t>Body length</t>
  </si>
  <si>
    <t>Number of processes on the egg circumference</t>
  </si>
  <si>
    <t>Process height</t>
  </si>
  <si>
    <t>Process base width</t>
  </si>
  <si>
    <t>Buccal tube</t>
  </si>
  <si>
    <t xml:space="preserve">     Length</t>
  </si>
  <si>
    <t xml:space="preserve">     Stylet support insertion point</t>
  </si>
  <si>
    <t xml:space="preserve">     External width</t>
  </si>
  <si>
    <t xml:space="preserve">     Internal width</t>
  </si>
  <si>
    <t xml:space="preserve">     Ventral lamina length</t>
  </si>
  <si>
    <t>Claw 1 lengths</t>
  </si>
  <si>
    <t xml:space="preserve">     Macroplacoid 1</t>
  </si>
  <si>
    <t xml:space="preserve">     Macroplacoid 2</t>
  </si>
  <si>
    <t xml:space="preserve">     Microplacoid</t>
  </si>
  <si>
    <t xml:space="preserve">     Macroplacoid row</t>
  </si>
  <si>
    <t xml:space="preserve">     Placoid row</t>
  </si>
  <si>
    <t xml:space="preserve">     External primary branch</t>
  </si>
  <si>
    <t xml:space="preserve">     External secondary branch</t>
  </si>
  <si>
    <t xml:space="preserve">     Internal primary branch</t>
  </si>
  <si>
    <t xml:space="preserve">     Internal secondary branch</t>
  </si>
  <si>
    <t>Claw 2 lengths</t>
  </si>
  <si>
    <t>Claw 3 lengths</t>
  </si>
  <si>
    <t>Claw 4 lengths</t>
  </si>
  <si>
    <t xml:space="preserve">     Anterior primary branch</t>
  </si>
  <si>
    <t xml:space="preserve">     Anterior secondary branch</t>
  </si>
  <si>
    <t xml:space="preserve">     Posterior primary branch</t>
  </si>
  <si>
    <t xml:space="preserve">     Posterior secondary branch</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</si>
  <si>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</si>
  <si>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</si>
  <si>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</si>
  <si>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</si>
  <si>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</si>
  <si>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</si>
  <si>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r>
      <t xml:space="preserve">This is a morphometric template for species of the Tardigrada Superfamiy </t>
    </r>
    <r>
      <rPr>
        <b/>
        <sz val="12"/>
        <rFont val="Calibri"/>
        <family val="2"/>
        <charset val="238"/>
      </rPr>
      <t>Macrobiotoidea.</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</si>
  <si>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"individuals" and "eggs". If a structure is not measurable leave the cell empty (enetring zeros will mean that the trait has a value of 0).</t>
    </r>
  </si>
  <si>
    <t>Data from sheets "individuals" and "eggs" are automatically copied to the four remaining "stats" sheets. Data in those sheets are arranged for statistical analyses in the majority of statistical software.</t>
  </si>
  <si>
    <t>The "individuals" and "eggs" sheets automatically calculate basic statistics (number of measurements, range, mean and SD). The table with these statistics is placed after the last (15th) specimen. The summary table can be then copied and pasted directly to MS Word.</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</si>
  <si>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</si>
  <si>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</si>
  <si>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</si>
  <si>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</si>
  <si>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</si>
  <si>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</si>
  <si>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</si>
  <si>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</si>
  <si>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</si>
  <si>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</si>
  <si>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</si>
  <si>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</si>
  <si>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</si>
  <si>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</si>
  <si>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</si>
  <si>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t>egg</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</si>
  <si>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</si>
  <si>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</si>
  <si>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</si>
  <si>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</si>
  <si>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</si>
  <si>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</si>
  <si>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</si>
  <si>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</si>
  <si>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</si>
  <si>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</si>
  <si>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</si>
  <si>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</si>
  <si>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Species</t>
  </si>
  <si>
    <t>Population</t>
  </si>
  <si>
    <r>
      <t xml:space="preserve">This template can be freely used but each published use must be credited as </t>
    </r>
    <r>
      <rPr>
        <b/>
        <sz val="12"/>
        <rFont val="Calibri"/>
        <family val="2"/>
        <charset val="238"/>
      </rPr>
      <t xml:space="preserve">Morphometric data were handled using the Macrobiotoidea ver. 1.1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</si>
  <si>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NZ157</t>
  </si>
  <si>
    <t>NZ152</t>
  </si>
  <si>
    <t>NZ166</t>
  </si>
  <si>
    <t>NZ154</t>
  </si>
  <si>
    <t>NZ157 (HOL)</t>
  </si>
  <si>
    <t>Macrobiotus horningi</t>
  </si>
  <si>
    <t>New Zealand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</si>
</sst>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CE"/>
      <charset val="238"/>
    </font>
    <font>
      <sz val="10"/>
      <name val="Arial CE"/>
      <charset val="238"/>
    </font>
    <font>
      <b/>
      <sz val="12"/>
      <name val="Calibri"/>
      <family val="2"/>
      <charset val="238"/>
    </font>
    <font>
      <sz val="12"/>
      <name val="Calibri"/>
      <family val="2"/>
      <charset val="238"/>
    </font>
    <font>
      <i/>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i/>
      <sz val="10"/>
      <color rgb="FF008000"/>
      <name val="Calibri"/>
      <family val="2"/>
      <charset val="238"/>
      <scheme val="minor"/>
    </font>
    <font>
      <b/>
      <sz val="14"/>
      <color rgb="FFFF0000"/>
      <name val="Calibri"/>
      <family val="2"/>
      <charset val="238"/>
      <scheme val="minor"/>
    </font>
  </fonts>
  <fills count="5">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66">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4" fontId="11" fillId="0" borderId="6" xfId="0" applyNumberFormat="1" applyFont="1" applyFill="1" applyBorder="1" applyAlignment="1">
      <alignment horizontal="left"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164" fontId="9" fillId="0" borderId="9" xfId="0" applyNumberFormat="1" applyFont="1" applyFill="1" applyBorder="1" applyAlignment="1">
      <alignment horizontal="center" vertical="center"/>
    </xf>
    <xf numFmtId="164" fontId="9" fillId="0" borderId="9" xfId="0" applyNumberFormat="1" applyFont="1" applyFill="1" applyBorder="1" applyAlignment="1">
      <alignment horizontal="left" vertical="center"/>
    </xf>
    <xf numFmtId="164" fontId="11" fillId="0" borderId="9" xfId="0" applyNumberFormat="1" applyFont="1" applyFill="1" applyBorder="1" applyAlignment="1">
      <alignment horizontal="right" vertical="center"/>
    </xf>
    <xf numFmtId="164" fontId="11" fillId="0" borderId="9"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0" fontId="9" fillId="0" borderId="0" xfId="0" applyFont="1" applyFill="1" applyBorder="1" applyAlignment="1">
      <alignment horizontal="left"/>
    </xf>
    <xf numFmtId="1"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3" xfId="0" applyFont="1" applyFill="1" applyBorder="1" applyAlignment="1">
      <alignment horizontal="left"/>
    </xf>
    <xf numFmtId="164" fontId="9" fillId="0" borderId="10" xfId="0" applyNumberFormat="1"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0" fontId="9" fillId="0" borderId="14" xfId="0" applyFont="1" applyFill="1" applyBorder="1" applyAlignment="1">
      <alignment horizontal="left"/>
    </xf>
    <xf numFmtId="164" fontId="9" fillId="0" borderId="15" xfId="0"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164" fontId="9" fillId="0" borderId="18"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19" xfId="0" applyFont="1" applyFill="1" applyBorder="1" applyAlignment="1">
      <alignment horizontal="left" vertical="center" wrapText="1"/>
    </xf>
    <xf numFmtId="164" fontId="9" fillId="0" borderId="20"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164" fontId="9" fillId="0" borderId="22" xfId="0" applyNumberFormat="1" applyFont="1" applyFill="1" applyBorder="1" applyAlignment="1">
      <alignment horizontal="center"/>
    </xf>
    <xf numFmtId="2" fontId="9" fillId="0" borderId="0" xfId="0" applyNumberFormat="1" applyFont="1" applyFill="1" applyBorder="1" applyAlignment="1">
      <alignment horizontal="center"/>
    </xf>
    <xf numFmtId="164" fontId="9" fillId="0" borderId="23" xfId="0" applyNumberFormat="1" applyFont="1" applyFill="1" applyBorder="1" applyAlignment="1">
      <alignment horizontal="center"/>
    </xf>
    <xf numFmtId="0" fontId="9" fillId="0" borderId="14" xfId="0" applyFont="1" applyFill="1" applyBorder="1" applyAlignment="1">
      <alignment horizontal="left" vertical="center" wrapText="1"/>
    </xf>
    <xf numFmtId="164" fontId="9" fillId="0" borderId="24" xfId="0" applyNumberFormat="1" applyFont="1" applyFill="1" applyBorder="1" applyAlignment="1">
      <alignment horizontal="center"/>
    </xf>
    <xf numFmtId="0" fontId="9" fillId="0" borderId="0" xfId="0" applyFont="1" applyFill="1" applyBorder="1" applyAlignment="1">
      <alignment horizontal="center" vertical="center" wrapText="1"/>
    </xf>
    <xf numFmtId="0" fontId="9" fillId="0" borderId="25" xfId="0" applyFont="1" applyFill="1" applyBorder="1" applyAlignment="1">
      <alignment horizontal="left"/>
    </xf>
    <xf numFmtId="0" fontId="9"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9" fillId="0" borderId="27" xfId="0" applyFont="1" applyFill="1" applyBorder="1"/>
    <xf numFmtId="0" fontId="9" fillId="0" borderId="1" xfId="0" applyFont="1" applyBorder="1" applyAlignment="1">
      <alignment vertical="top"/>
    </xf>
    <xf numFmtId="164" fontId="9" fillId="2" borderId="27" xfId="0" applyNumberFormat="1" applyFont="1" applyFill="1" applyBorder="1" applyAlignment="1">
      <alignment horizontal="center"/>
    </xf>
    <xf numFmtId="164" fontId="12" fillId="2" borderId="28"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0" xfId="0" applyNumberFormat="1" applyFont="1" applyFill="1" applyBorder="1" applyAlignment="1">
      <alignment horizontal="righ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5" xfId="0" applyNumberFormat="1" applyFont="1" applyFill="1" applyBorder="1" applyAlignment="1">
      <alignment horizontal="left"/>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29" xfId="0" applyFont="1" applyFill="1" applyBorder="1" applyAlignment="1">
      <alignment horizontal="center" vertical="top" wrapText="1"/>
    </xf>
    <xf numFmtId="0" fontId="14" fillId="3" borderId="30" xfId="0" applyFont="1" applyFill="1" applyBorder="1" applyAlignment="1">
      <alignment horizontal="left" vertical="top" wrapText="1"/>
    </xf>
    <xf numFmtId="0" fontId="13" fillId="3" borderId="31" xfId="0" applyFont="1" applyFill="1" applyBorder="1" applyAlignment="1">
      <alignment horizontal="center" vertical="top" wrapText="1"/>
    </xf>
    <xf numFmtId="0" fontId="14" fillId="3" borderId="32" xfId="0" applyFont="1" applyFill="1" applyBorder="1" applyAlignment="1">
      <alignment horizontal="left" vertical="top" wrapText="1"/>
    </xf>
    <xf numFmtId="0" fontId="14" fillId="3" borderId="33" xfId="0" applyFont="1" applyFill="1" applyBorder="1" applyAlignment="1">
      <alignment horizontal="left" vertical="top" wrapText="1"/>
    </xf>
    <xf numFmtId="0" fontId="15" fillId="4" borderId="31" xfId="0" applyFont="1" applyFill="1" applyBorder="1" applyAlignment="1">
      <alignment horizontal="center" vertical="top" wrapText="1"/>
    </xf>
    <xf numFmtId="0" fontId="14" fillId="4" borderId="33" xfId="0" applyFont="1" applyFill="1" applyBorder="1" applyAlignment="1">
      <alignment horizontal="left" vertical="top" wrapText="1"/>
    </xf>
    <xf numFmtId="0" fontId="13" fillId="3" borderId="34" xfId="0" applyFont="1" applyFill="1" applyBorder="1" applyAlignment="1">
      <alignment horizontal="center" vertical="top" wrapText="1"/>
    </xf>
    <xf numFmtId="1" fontId="9" fillId="0" borderId="35" xfId="0" applyNumberFormat="1" applyFont="1" applyFill="1" applyBorder="1" applyAlignment="1">
      <alignment horizontal="center" vertical="center"/>
    </xf>
    <xf numFmtId="164" fontId="9" fillId="0" borderId="35" xfId="0" applyNumberFormat="1" applyFont="1" applyFill="1" applyBorder="1" applyAlignment="1">
      <alignment horizontal="center" vertical="center"/>
    </xf>
    <xf numFmtId="164" fontId="9" fillId="0" borderId="36" xfId="0" applyNumberFormat="1" applyFont="1" applyFill="1" applyBorder="1" applyAlignment="1">
      <alignment horizontal="right" vertical="center"/>
    </xf>
    <xf numFmtId="164" fontId="9" fillId="0" borderId="36" xfId="0" applyNumberFormat="1" applyFont="1" applyFill="1" applyBorder="1" applyAlignment="1">
      <alignment horizontal="center" vertical="center"/>
    </xf>
    <xf numFmtId="9" fontId="16" fillId="0" borderId="1" xfId="2" applyFont="1" applyFill="1" applyBorder="1" applyAlignment="1">
      <alignment horizontal="center"/>
    </xf>
    <xf numFmtId="9" fontId="16" fillId="0" borderId="37" xfId="2" applyFont="1" applyFill="1" applyBorder="1" applyAlignment="1">
      <alignment horizontal="center"/>
    </xf>
    <xf numFmtId="9" fontId="16" fillId="0" borderId="16" xfId="2" applyFont="1" applyFill="1" applyBorder="1" applyAlignment="1">
      <alignment horizontal="center"/>
    </xf>
    <xf numFmtId="9" fontId="16" fillId="0" borderId="24" xfId="2" applyFont="1" applyFill="1" applyBorder="1" applyAlignment="1">
      <alignment horizontal="center"/>
    </xf>
    <xf numFmtId="9" fontId="16" fillId="0" borderId="38" xfId="2" applyFont="1" applyFill="1" applyBorder="1" applyAlignment="1">
      <alignment horizontal="center"/>
    </xf>
    <xf numFmtId="9" fontId="16" fillId="0" borderId="22" xfId="2" applyFont="1" applyFill="1" applyBorder="1" applyAlignment="1">
      <alignment horizontal="center"/>
    </xf>
    <xf numFmtId="9" fontId="16" fillId="0" borderId="39" xfId="2" applyFont="1" applyFill="1" applyBorder="1" applyAlignment="1">
      <alignment horizontal="center"/>
    </xf>
    <xf numFmtId="9" fontId="16" fillId="0" borderId="21" xfId="2" applyFont="1" applyFill="1" applyBorder="1" applyAlignment="1">
      <alignment horizontal="center"/>
    </xf>
    <xf numFmtId="9" fontId="16" fillId="0" borderId="23" xfId="2" applyFont="1" applyFill="1" applyBorder="1" applyAlignment="1">
      <alignment horizontal="center"/>
    </xf>
    <xf numFmtId="0" fontId="8" fillId="0" borderId="40" xfId="0" applyFont="1" applyFill="1" applyBorder="1" applyAlignment="1">
      <alignment horizontal="center" vertical="center"/>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9" fillId="0" borderId="1" xfId="0" applyFont="1" applyFill="1" applyBorder="1" applyAlignment="1">
      <alignment horizontal="left" vertical="top" wrapText="1"/>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 xfId="2"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9" fillId="0" borderId="12" xfId="0" applyNumberFormat="1"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164" fontId="9" fillId="0" borderId="22" xfId="0" applyNumberFormat="1"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 fontId="9" fillId="0" borderId="41" xfId="0" applyNumberFormat="1" applyFont="1" applyFill="1" applyBorder="1" applyAlignment="1">
      <alignment horizontal="center" vertical="center" wrapText="1"/>
    </xf>
    <xf numFmtId="1" fontId="9" fillId="0" borderId="42" xfId="0" applyNumberFormat="1" applyFont="1" applyFill="1" applyBorder="1" applyAlignment="1">
      <alignment horizontal="center" vertical="center" wrapText="1"/>
    </xf>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9" fontId="9" fillId="0" borderId="0" xfId="2" applyFont="1" applyFill="1" applyBorder="1" applyAlignment="1">
      <alignment horizontal="center" vertical="center"/>
    </xf>
    <xf numFmtId="0" fontId="9" fillId="0" borderId="9" xfId="0" applyFont="1" applyFill="1" applyBorder="1" applyAlignment="1">
      <alignment horizontal="left"/>
    </xf>
    <xf numFmtId="0" fontId="9" fillId="0" borderId="9" xfId="0" applyFont="1" applyFill="1" applyBorder="1" applyAlignment="1">
      <alignment horizontal="center" vertical="center"/>
    </xf>
    <xf numFmtId="1" fontId="9" fillId="0" borderId="9" xfId="0" applyNumberFormat="1" applyFont="1" applyFill="1" applyBorder="1" applyAlignment="1">
      <alignment horizontal="right" vertical="center"/>
    </xf>
    <xf numFmtId="1" fontId="9" fillId="0" borderId="9" xfId="0" applyNumberFormat="1" applyFont="1" applyFill="1" applyBorder="1" applyAlignment="1">
      <alignment horizontal="left" vertical="center"/>
    </xf>
    <xf numFmtId="0" fontId="9" fillId="0" borderId="43" xfId="0" applyFont="1" applyFill="1" applyBorder="1" applyAlignment="1">
      <alignment horizontal="left"/>
    </xf>
    <xf numFmtId="0" fontId="9" fillId="0" borderId="43" xfId="0" applyFont="1" applyFill="1" applyBorder="1" applyAlignment="1">
      <alignment horizontal="center" vertical="center"/>
    </xf>
    <xf numFmtId="164" fontId="9" fillId="0" borderId="43" xfId="0" applyNumberFormat="1" applyFont="1" applyFill="1" applyBorder="1" applyAlignment="1">
      <alignment horizontal="right" vertical="center"/>
    </xf>
    <xf numFmtId="164" fontId="9" fillId="0" borderId="43" xfId="0" applyNumberFormat="1" applyFont="1" applyFill="1" applyBorder="1" applyAlignment="1">
      <alignment horizontal="center" vertical="center"/>
    </xf>
    <xf numFmtId="164" fontId="9" fillId="0" borderId="43" xfId="0" applyNumberFormat="1" applyFont="1" applyFill="1" applyBorder="1" applyAlignment="1">
      <alignment horizontal="left" vertical="center"/>
    </xf>
    <xf numFmtId="0" fontId="8" fillId="0" borderId="40" xfId="0" applyFont="1" applyFill="1" applyBorder="1" applyAlignment="1">
      <alignment horizontal="left" vertical="center" wrapText="1"/>
    </xf>
    <xf numFmtId="164" fontId="9" fillId="0" borderId="44" xfId="0" applyNumberFormat="1" applyFont="1" applyFill="1" applyBorder="1" applyAlignment="1">
      <alignment horizontal="center" vertical="center" wrapText="1"/>
    </xf>
    <xf numFmtId="164" fontId="9" fillId="0" borderId="45"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 fontId="9" fillId="0" borderId="36" xfId="0" applyNumberFormat="1" applyFont="1" applyFill="1" applyBorder="1" applyAlignment="1">
      <alignment horizontal="center" vertical="center" wrapText="1"/>
    </xf>
    <xf numFmtId="2" fontId="0" fillId="0" borderId="1" xfId="0" applyNumberFormat="1" applyFill="1" applyBorder="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9" fontId="0" fillId="0" borderId="1" xfId="2" applyFont="1" applyFill="1" applyBorder="1" applyAlignment="1">
      <alignment horizontal="center" vertical="center" wrapText="1"/>
    </xf>
    <xf numFmtId="164" fontId="12" fillId="2" borderId="18"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1" fillId="3" borderId="47" xfId="1" applyFont="1" applyFill="1" applyBorder="1" applyAlignment="1" applyProtection="1">
      <alignment horizontal="left" vertical="top" wrapText="1"/>
    </xf>
    <xf numFmtId="0" fontId="17" fillId="3" borderId="4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1" fontId="8" fillId="0" borderId="1" xfId="0" applyNumberFormat="1" applyFont="1" applyFill="1" applyBorder="1" applyAlignment="1">
      <alignment horizontal="center"/>
    </xf>
    <xf numFmtId="0" fontId="8" fillId="0" borderId="1" xfId="0" applyFont="1" applyFill="1" applyBorder="1" applyAlignment="1">
      <alignment horizontal="center"/>
    </xf>
    <xf numFmtId="1" fontId="9" fillId="0" borderId="0" xfId="0" applyNumberFormat="1" applyFont="1" applyFill="1" applyBorder="1" applyAlignment="1">
      <alignment horizontal="center"/>
    </xf>
    <xf numFmtId="0" fontId="8" fillId="0" borderId="40" xfId="0" applyFont="1" applyFill="1" applyBorder="1" applyAlignment="1">
      <alignment horizontal="center" vertical="center"/>
    </xf>
    <xf numFmtId="0" fontId="8"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1" xfId="0" applyFont="1" applyFill="1" applyBorder="1" applyAlignment="1">
      <alignment horizontal="left" vertical="center"/>
    </xf>
    <xf numFmtId="0" fontId="8" fillId="0" borderId="4" xfId="0" applyFont="1" applyFill="1" applyBorder="1" applyAlignment="1">
      <alignment horizontal="left" vertical="center"/>
    </xf>
    <xf numFmtId="1" fontId="9" fillId="0" borderId="43" xfId="0" applyNumberFormat="1" applyFont="1" applyFill="1" applyBorder="1" applyAlignment="1">
      <alignment horizontal="center"/>
    </xf>
    <xf numFmtId="9" fontId="9" fillId="0" borderId="0" xfId="2" applyFont="1" applyFill="1" applyBorder="1" applyAlignment="1">
      <alignment horizontal="center" vertical="center"/>
    </xf>
    <xf numFmtId="9" fontId="9" fillId="0" borderId="40" xfId="2" applyFont="1" applyFill="1" applyBorder="1" applyAlignment="1">
      <alignment horizontal="center" vertical="center"/>
    </xf>
    <xf numFmtId="0" fontId="8" fillId="0" borderId="52"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Macrobiotoidea%20ver.%201.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77" customWidth="1"/>
    <col min="3" max="3" width="115.7109375" customWidth="1"/>
  </cols>
  <sheetData>
    <row r="1" spans="2:3" ht="13.5" thickBot="1" x14ac:dyDescent="0.25"/>
    <row r="2" spans="2:3" ht="19.5" thickBot="1" x14ac:dyDescent="0.25">
      <c r="B2" s="147" t="s">
        <v>53</v>
      </c>
      <c r="C2" s="148"/>
    </row>
    <row r="3" spans="2:3" ht="15.75" x14ac:dyDescent="0.2">
      <c r="B3" s="78">
        <v>1</v>
      </c>
      <c r="C3" s="79" t="s">
        <v>58</v>
      </c>
    </row>
    <row r="4" spans="2:3" ht="63" x14ac:dyDescent="0.2">
      <c r="B4" s="80">
        <v>2</v>
      </c>
      <c r="C4" s="81" t="s">
        <v>59</v>
      </c>
    </row>
    <row r="5" spans="2:3" ht="47.25" x14ac:dyDescent="0.2">
      <c r="B5" s="78">
        <v>3</v>
      </c>
      <c r="C5" s="81" t="s">
        <v>61</v>
      </c>
    </row>
    <row r="6" spans="2:3" ht="47.25" x14ac:dyDescent="0.2">
      <c r="B6" s="80">
        <v>4</v>
      </c>
      <c r="C6" s="81" t="s">
        <v>54</v>
      </c>
    </row>
    <row r="7" spans="2:3" ht="31.5" x14ac:dyDescent="0.2">
      <c r="B7" s="78">
        <v>5</v>
      </c>
      <c r="C7" s="81" t="s">
        <v>55</v>
      </c>
    </row>
    <row r="8" spans="2:3" ht="31.5" x14ac:dyDescent="0.2">
      <c r="B8" s="80">
        <v>6</v>
      </c>
      <c r="C8" s="81" t="s">
        <v>60</v>
      </c>
    </row>
    <row r="9" spans="2:3" ht="31.5" x14ac:dyDescent="0.2">
      <c r="B9" s="78">
        <v>7</v>
      </c>
      <c r="C9" s="82" t="s">
        <v>56</v>
      </c>
    </row>
    <row r="10" spans="2:3" ht="78.75" x14ac:dyDescent="0.2">
      <c r="B10" s="83">
        <v>8</v>
      </c>
      <c r="C10" s="84" t="s">
        <v>92</v>
      </c>
    </row>
    <row r="11" spans="2:3" ht="16.5" thickBot="1" x14ac:dyDescent="0.25">
      <c r="B11" s="85">
        <v>9</v>
      </c>
      <c r="C11" s="146" t="s">
        <v>57</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AT5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75" x14ac:dyDescent="0.2"/>
  <cols>
    <col min="1" max="1" width="26.7109375" style="2" bestFit="1" customWidth="1"/>
    <col min="2" max="31" width="6.7109375" style="2" customWidth="1"/>
    <col min="32" max="32" width="2.85546875" style="2" customWidth="1"/>
    <col min="33" max="33" width="26.7109375" style="2" bestFit="1" customWidth="1"/>
    <col min="34" max="34" width="3.140625" style="2" bestFit="1" customWidth="1"/>
    <col min="35" max="35" width="5.7109375" style="2" bestFit="1" customWidth="1"/>
    <col min="36" max="36" width="2.42578125" style="2" customWidth="1"/>
    <col min="37" max="37" width="5.7109375" style="2" bestFit="1" customWidth="1"/>
    <col min="38" max="38" width="7.42578125" style="2" bestFit="1" customWidth="1"/>
    <col min="39" max="39" width="2.42578125" style="2" customWidth="1"/>
    <col min="40" max="40" width="7.42578125" style="2" bestFit="1" customWidth="1"/>
    <col min="41" max="41" width="7.5703125" style="2" bestFit="1" customWidth="1"/>
    <col min="42" max="42" width="7.42578125" style="2" bestFit="1" customWidth="1"/>
    <col min="43" max="43" width="7.5703125" style="2" bestFit="1" customWidth="1"/>
    <col min="44" max="44" width="7.28515625" style="2" bestFit="1" customWidth="1"/>
    <col min="45" max="45" width="5.7109375" style="2" bestFit="1" customWidth="1"/>
    <col min="46" max="46" width="7.42578125" style="2" bestFit="1" customWidth="1"/>
    <col min="47" max="16384" width="9.140625" style="2"/>
  </cols>
  <sheetData>
    <row r="1" spans="1:46" x14ac:dyDescent="0.2">
      <c r="A1" s="1" t="s">
        <v>21</v>
      </c>
      <c r="B1" s="151" t="s">
        <v>97</v>
      </c>
      <c r="C1" s="151"/>
      <c r="D1" s="151" t="s">
        <v>94</v>
      </c>
      <c r="E1" s="151"/>
      <c r="F1" s="151" t="s">
        <v>95</v>
      </c>
      <c r="G1" s="151"/>
      <c r="H1" s="151" t="s">
        <v>94</v>
      </c>
      <c r="I1" s="151"/>
      <c r="J1" s="151" t="s">
        <v>96</v>
      </c>
      <c r="K1" s="151"/>
      <c r="L1" s="151" t="s">
        <v>94</v>
      </c>
      <c r="M1" s="151"/>
      <c r="N1" s="151" t="s">
        <v>94</v>
      </c>
      <c r="O1" s="151"/>
      <c r="P1" s="151" t="s">
        <v>93</v>
      </c>
      <c r="Q1" s="151"/>
      <c r="R1" s="151">
        <v>9</v>
      </c>
      <c r="S1" s="151"/>
      <c r="T1" s="151">
        <v>10</v>
      </c>
      <c r="U1" s="151"/>
      <c r="V1" s="151">
        <v>11</v>
      </c>
      <c r="W1" s="151"/>
      <c r="X1" s="152">
        <v>12</v>
      </c>
      <c r="Y1" s="152"/>
      <c r="Z1" s="152">
        <v>13</v>
      </c>
      <c r="AA1" s="152"/>
      <c r="AB1" s="152">
        <v>14</v>
      </c>
      <c r="AC1" s="152"/>
      <c r="AD1" s="152">
        <v>15</v>
      </c>
      <c r="AE1" s="152"/>
      <c r="AG1" s="160" t="s">
        <v>18</v>
      </c>
      <c r="AH1" s="149" t="s">
        <v>2</v>
      </c>
      <c r="AI1" s="154" t="s">
        <v>19</v>
      </c>
      <c r="AJ1" s="154"/>
      <c r="AK1" s="154"/>
      <c r="AL1" s="154"/>
      <c r="AM1" s="154"/>
      <c r="AN1" s="158"/>
      <c r="AO1" s="154" t="s">
        <v>0</v>
      </c>
      <c r="AP1" s="158"/>
      <c r="AQ1" s="154" t="s">
        <v>1</v>
      </c>
      <c r="AR1" s="159"/>
      <c r="AS1" s="154" t="s">
        <v>20</v>
      </c>
      <c r="AT1" s="154"/>
    </row>
    <row r="2" spans="1:46" x14ac:dyDescent="0.2">
      <c r="A2" s="3" t="s">
        <v>18</v>
      </c>
      <c r="B2" s="4" t="s">
        <v>16</v>
      </c>
      <c r="C2" s="34" t="s">
        <v>6</v>
      </c>
      <c r="D2" s="4" t="s">
        <v>16</v>
      </c>
      <c r="E2" s="34" t="s">
        <v>6</v>
      </c>
      <c r="F2" s="4" t="s">
        <v>16</v>
      </c>
      <c r="G2" s="34" t="s">
        <v>6</v>
      </c>
      <c r="H2" s="4" t="s">
        <v>16</v>
      </c>
      <c r="I2" s="34" t="s">
        <v>6</v>
      </c>
      <c r="J2" s="4" t="s">
        <v>16</v>
      </c>
      <c r="K2" s="34" t="s">
        <v>6</v>
      </c>
      <c r="L2" s="4" t="s">
        <v>16</v>
      </c>
      <c r="M2" s="34" t="s">
        <v>6</v>
      </c>
      <c r="N2" s="4" t="s">
        <v>16</v>
      </c>
      <c r="O2" s="34" t="s">
        <v>6</v>
      </c>
      <c r="P2" s="4" t="s">
        <v>16</v>
      </c>
      <c r="Q2" s="34" t="s">
        <v>6</v>
      </c>
      <c r="R2" s="4" t="s">
        <v>16</v>
      </c>
      <c r="S2" s="34" t="s">
        <v>6</v>
      </c>
      <c r="T2" s="4" t="s">
        <v>16</v>
      </c>
      <c r="U2" s="34" t="s">
        <v>6</v>
      </c>
      <c r="V2" s="4" t="s">
        <v>16</v>
      </c>
      <c r="W2" s="34" t="s">
        <v>6</v>
      </c>
      <c r="X2" s="4" t="s">
        <v>16</v>
      </c>
      <c r="Y2" s="34" t="s">
        <v>6</v>
      </c>
      <c r="Z2" s="4" t="s">
        <v>16</v>
      </c>
      <c r="AA2" s="34" t="s">
        <v>6</v>
      </c>
      <c r="AB2" s="4" t="s">
        <v>16</v>
      </c>
      <c r="AC2" s="34" t="s">
        <v>6</v>
      </c>
      <c r="AD2" s="4" t="s">
        <v>16</v>
      </c>
      <c r="AE2" s="34" t="s">
        <v>6</v>
      </c>
      <c r="AG2" s="161"/>
      <c r="AH2" s="150"/>
      <c r="AI2" s="155" t="s">
        <v>16</v>
      </c>
      <c r="AJ2" s="155"/>
      <c r="AK2" s="155"/>
      <c r="AL2" s="156" t="s">
        <v>6</v>
      </c>
      <c r="AM2" s="156"/>
      <c r="AN2" s="157"/>
      <c r="AO2" s="5" t="s">
        <v>16</v>
      </c>
      <c r="AP2" s="6" t="s">
        <v>6</v>
      </c>
      <c r="AQ2" s="5" t="s">
        <v>16</v>
      </c>
      <c r="AR2" s="7" t="s">
        <v>6</v>
      </c>
      <c r="AS2" s="5" t="s">
        <v>16</v>
      </c>
      <c r="AT2" s="8" t="s">
        <v>6</v>
      </c>
    </row>
    <row r="3" spans="1:46" x14ac:dyDescent="0.2">
      <c r="A3" s="9" t="s">
        <v>25</v>
      </c>
      <c r="B3" s="70">
        <v>612</v>
      </c>
      <c r="C3" s="71">
        <f>IF(AND((B3&gt;0),(B$5&gt;0)),(B3/B$5*100),"")</f>
        <v>1283.0188679245282</v>
      </c>
      <c r="D3" s="70"/>
      <c r="E3" s="71" t="str">
        <f>IF(AND((D3&gt;0),(D$5&gt;0)),(D3/D$5*100),"")</f>
        <v/>
      </c>
      <c r="F3" s="70">
        <v>439</v>
      </c>
      <c r="G3" s="71">
        <f>IF(AND((F3&gt;0),(F$5&gt;0)),(F3/F$5*100),"")</f>
        <v>1164.4562334217505</v>
      </c>
      <c r="H3" s="70">
        <v>267</v>
      </c>
      <c r="I3" s="71">
        <f>IF(AND((H3&gt;0),(H$5&gt;0)),(H3/H$5*100),"")</f>
        <v>839.62264150943395</v>
      </c>
      <c r="J3" s="70">
        <v>562</v>
      </c>
      <c r="K3" s="71">
        <f>IF(AND((J3&gt;0),(J$5&gt;0)),(J3/J$5*100),"")</f>
        <v>1235.1648351648353</v>
      </c>
      <c r="L3" s="70">
        <v>517</v>
      </c>
      <c r="M3" s="71">
        <f>IF(AND((L3&gt;0),(L$5&gt;0)),(L3/L$5*100),"")</f>
        <v>1175</v>
      </c>
      <c r="N3" s="70">
        <v>363.6</v>
      </c>
      <c r="O3" s="71">
        <f>IF(AND((N3&gt;0),(N$5&gt;0)),(N3/N$5*100),"")</f>
        <v>1027.1186440677968</v>
      </c>
      <c r="P3" s="70">
        <v>214</v>
      </c>
      <c r="Q3" s="71">
        <f>IF(AND((P3&gt;0),(P$5&gt;0)),(P3/P$5*100),"")</f>
        <v>856</v>
      </c>
      <c r="R3" s="70"/>
      <c r="S3" s="71" t="str">
        <f>IF(AND((R3&gt;0),(R$5&gt;0)),(R3/R$5*100),"")</f>
        <v/>
      </c>
      <c r="T3" s="70"/>
      <c r="U3" s="71" t="str">
        <f>IF(AND((T3&gt;0),(T$5&gt;0)),(T3/T$5*100),"")</f>
        <v/>
      </c>
      <c r="V3" s="70"/>
      <c r="W3" s="71" t="str">
        <f>IF(AND((V3&gt;0),(V$5&gt;0)),(V3/V$5*100),"")</f>
        <v/>
      </c>
      <c r="X3" s="70"/>
      <c r="Y3" s="71" t="str">
        <f>IF(AND((X3&gt;0),(X$5&gt;0)),(X3/X$5*100),"")</f>
        <v/>
      </c>
      <c r="Z3" s="70"/>
      <c r="AA3" s="71" t="str">
        <f>IF(AND((Z3&gt;0),(Z$5&gt;0)),(Z3/Z$5*100),"")</f>
        <v/>
      </c>
      <c r="AB3" s="70"/>
      <c r="AC3" s="71" t="str">
        <f>IF(AND((AB3&gt;0),(AB$5&gt;0)),(AB3/AB$5*100),"")</f>
        <v/>
      </c>
      <c r="AD3" s="70"/>
      <c r="AE3" s="71" t="str">
        <f>IF(AND((AD3&gt;0),(AD$5&gt;0)),(AD3/AD$5*100),"")</f>
        <v/>
      </c>
      <c r="AF3" s="32"/>
      <c r="AG3" s="72" t="str">
        <f>A3</f>
        <v>Body length</v>
      </c>
      <c r="AH3" s="73">
        <f>COUNT(B3,D3,F3,H3,J3,L3,N3,P3,R3,T3,V3,X3,Z3,AB3,AD3)</f>
        <v>7</v>
      </c>
      <c r="AI3" s="74">
        <f>IF(SUM(B3,D3,F3,H3,J3,L3,N3,P3,R3,T3,V3,X3,Z3,AB3,AD3)&gt;0,MIN(B3,D3,F3,H3,J3,L3,N3,P3,R3,T3,V3,X3,Z3,AB3,AD3),"")</f>
        <v>214</v>
      </c>
      <c r="AJ3" s="75" t="str">
        <f>IF(COUNT(AI3)&gt;0,"–","?")</f>
        <v>–</v>
      </c>
      <c r="AK3" s="76">
        <f>IF(SUM(B3,D3,F3,H3,J3,L3,N3,P3,R3,T3,V3,X3,Z3,AB3,AD3)&gt;0,MAX(B3,D3,F3,H3,J3,L3,N3,P3,R3,T3,V3,X3,Z3,AB3,AD3),"")</f>
        <v>612</v>
      </c>
      <c r="AL3" s="66">
        <f>IF(SUM(C3,E3,G3,I3,K3,M3,O3,Q3,S3,U3,W3,Y3,AA3,AC3,AE3)&gt;0,MIN(C3,E3,G3,I3,K3,M3,O3,Q3,S3,U3,W3,Y3,AA3,AC3,AE3),"")</f>
        <v>839.62264150943395</v>
      </c>
      <c r="AM3" s="69" t="str">
        <f>IF(COUNT(AL3)&gt;0,"–","?")</f>
        <v>–</v>
      </c>
      <c r="AN3" s="65">
        <f>IF(SUM(C3,E3,G3,I3,K3,M3,O3,Q3,S3,U3,W3,Y3,AA3,AC3,AE3)&gt;0,MAX(C3,E3,G3,I3,K3,M3,O3,Q3,S3,U3,W3,Y3,AA3,AC3,AE3),"")</f>
        <v>1283.0188679245282</v>
      </c>
      <c r="AO3" s="86">
        <f>IF(SUM(B3,D3,F3,H3,J3,L3,N3,P3,R3,T3,V3,X3,Z3,AB3,AD3)&gt;0,AVERAGE(B3,D3,F3,H3,J3,L3,N3,P3,R3,T3,V3,X3,Z3,AB3,AD3),"?")</f>
        <v>424.94285714285712</v>
      </c>
      <c r="AP3" s="67">
        <f>IF(SUM(C3,E3,G3,I3,K3,M3,O3,Q3,S3,U3,W3,Y3,AA3,AC3,AE3)&gt;0,AVERAGE(C3,E3,G3,I3,K3,M3,O3,Q3,S3,U3,W3,Y3,AA3,AC3,AE3),"?")</f>
        <v>1082.9116031554779</v>
      </c>
      <c r="AQ3" s="75">
        <f>IF(COUNT(B3,D3,F3,H3,J3,L3,N3,P3,R3,T3,V3,X3,Z3,AB3,AD3)&gt;1,STDEV(B3,D3,F3,H3,J3,L3,N3,P3,R3,T3,V3,X3,Z3,AB3,AD3),"?")</f>
        <v>150.36230530669198</v>
      </c>
      <c r="AR3" s="68">
        <f>IF(COUNT(C3,E3,G3,I3,K3,M3,O3,Q3,S3,U3,W3,Y3,AA3,AC3,AE3)&gt;1,STDEV(C3,E3,G3,I3,K3,M3,O3,Q3,S3,U3,W3,Y3,AA3,AC3,AE3),"?")</f>
        <v>178.95297912136161</v>
      </c>
      <c r="AS3" s="75">
        <f>IF(COUNT(B3)&gt;0,B3,"?")</f>
        <v>612</v>
      </c>
      <c r="AT3" s="69">
        <f>IF(COUNT(C3)&gt;0,C3,"?")</f>
        <v>1283.0188679245282</v>
      </c>
    </row>
    <row r="4" spans="1:46" x14ac:dyDescent="0.2">
      <c r="A4" s="61" t="s">
        <v>29</v>
      </c>
      <c r="B4" s="63"/>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141"/>
      <c r="AG4" s="11" t="str">
        <f>A4</f>
        <v>Buccal tube</v>
      </c>
      <c r="AH4" s="12"/>
      <c r="AI4" s="13"/>
      <c r="AJ4" s="14"/>
      <c r="AK4" s="15"/>
      <c r="AL4" s="16"/>
      <c r="AM4" s="17"/>
      <c r="AN4" s="18"/>
      <c r="AO4" s="87"/>
      <c r="AP4" s="19"/>
      <c r="AQ4" s="14"/>
      <c r="AR4" s="20"/>
      <c r="AS4" s="14"/>
      <c r="AT4" s="17"/>
    </row>
    <row r="5" spans="1:46" x14ac:dyDescent="0.2">
      <c r="A5" s="9" t="s">
        <v>30</v>
      </c>
      <c r="B5" s="10">
        <v>47.7</v>
      </c>
      <c r="C5" s="35" t="s">
        <v>15</v>
      </c>
      <c r="D5" s="10">
        <v>38.299999999999997</v>
      </c>
      <c r="E5" s="35" t="s">
        <v>15</v>
      </c>
      <c r="F5" s="10">
        <v>37.700000000000003</v>
      </c>
      <c r="G5" s="35" t="s">
        <v>15</v>
      </c>
      <c r="H5" s="10">
        <v>31.8</v>
      </c>
      <c r="I5" s="35" t="s">
        <v>15</v>
      </c>
      <c r="J5" s="10">
        <v>45.5</v>
      </c>
      <c r="K5" s="35" t="s">
        <v>15</v>
      </c>
      <c r="L5" s="10">
        <v>44</v>
      </c>
      <c r="M5" s="35" t="s">
        <v>15</v>
      </c>
      <c r="N5" s="10">
        <v>35.4</v>
      </c>
      <c r="O5" s="35" t="s">
        <v>15</v>
      </c>
      <c r="P5" s="10">
        <v>25</v>
      </c>
      <c r="Q5" s="35" t="s">
        <v>15</v>
      </c>
      <c r="R5" s="10"/>
      <c r="S5" s="35" t="s">
        <v>15</v>
      </c>
      <c r="T5" s="10"/>
      <c r="U5" s="35" t="s">
        <v>15</v>
      </c>
      <c r="V5" s="10"/>
      <c r="W5" s="35" t="s">
        <v>15</v>
      </c>
      <c r="X5" s="10"/>
      <c r="Y5" s="35" t="s">
        <v>15</v>
      </c>
      <c r="Z5" s="10"/>
      <c r="AA5" s="35" t="s">
        <v>15</v>
      </c>
      <c r="AB5" s="10"/>
      <c r="AC5" s="35" t="s">
        <v>15</v>
      </c>
      <c r="AD5" s="10"/>
      <c r="AE5" s="35" t="s">
        <v>15</v>
      </c>
      <c r="AG5" s="11" t="str">
        <f t="shared" ref="AG5:AG35" si="0">A5</f>
        <v xml:space="preserve">     Length</v>
      </c>
      <c r="AH5" s="12">
        <f>COUNT(B5,D5,F5,H5,J5,L5,N5,P5,R5,T5,V5,X5,Z5,AB5,AD5)</f>
        <v>8</v>
      </c>
      <c r="AI5" s="13">
        <f t="shared" ref="AI5:AI35" si="1">IF(SUM(B5,D5,F5,H5,J5,L5,N5,P5,R5,T5,V5,X5,Z5,AB5,AD5)&gt;0,MIN(B5,D5,F5,H5,J5,L5,N5,P5,R5,T5,V5,X5,Z5,AB5,AD5),"")</f>
        <v>25</v>
      </c>
      <c r="AJ5" s="14" t="str">
        <f t="shared" ref="AJ5:AJ35" si="2">IF(COUNT(AI5)&gt;0,"–","?")</f>
        <v>–</v>
      </c>
      <c r="AK5" s="15">
        <f t="shared" ref="AK5:AK35" si="3">IF(SUM(B5,D5,F5,H5,J5,L5,N5,P5,R5,T5,V5,X5,Z5,AB5,AD5)&gt;0,MAX(B5,D5,F5,H5,J5,L5,N5,P5,R5,T5,V5,X5,Z5,AB5,AD5),"")</f>
        <v>47.7</v>
      </c>
      <c r="AL5" s="16" t="str">
        <f t="shared" ref="AL5:AL35" si="4">IF(SUM(C5,E5,G5,I5,K5,M5,O5,Q5,S5,U5,W5,Y5,AA5,AC5,AE5)&gt;0,MIN(C5,E5,G5,I5,K5,M5,O5,Q5,S5,U5,W5,Y5,AA5,AC5,AE5),"")</f>
        <v/>
      </c>
      <c r="AM5" s="17" t="s">
        <v>15</v>
      </c>
      <c r="AN5" s="18" t="str">
        <f t="shared" ref="AN5:AN35" si="5">IF(SUM(C5,E5,G5,I5,K5,M5,O5,Q5,S5,U5,W5,Y5,AA5,AC5,AE5)&gt;0,MAX(C5,E5,G5,I5,K5,M5,O5,Q5,S5,U5,W5,Y5,AA5,AC5,AE5),"")</f>
        <v/>
      </c>
      <c r="AO5" s="87">
        <f t="shared" ref="AO5:AO35" si="6">IF(SUM(B5,D5,F5,H5,J5,L5,N5,P5,R5,T5,V5,X5,Z5,AB5,AD5)&gt;0,AVERAGE(B5,D5,F5,H5,J5,L5,N5,P5,R5,T5,V5,X5,Z5,AB5,AD5),"?")</f>
        <v>38.174999999999997</v>
      </c>
      <c r="AP5" s="19" t="s">
        <v>15</v>
      </c>
      <c r="AQ5" s="14">
        <f t="shared" ref="AQ5:AQ35" si="7">IF(COUNT(B5,D5,F5,H5,J5,L5,N5,P5,R5,T5,V5,X5,Z5,AB5,AD5)&gt;1,STDEV(B5,D5,F5,H5,J5,L5,N5,P5,R5,T5,V5,X5,Z5,AB5,AD5),"?")</f>
        <v>7.5637764566196921</v>
      </c>
      <c r="AR5" s="20" t="s">
        <v>15</v>
      </c>
      <c r="AS5" s="14">
        <f t="shared" ref="AS5:AS35" si="8">IF(COUNT(B5)&gt;0,B5,"?")</f>
        <v>47.7</v>
      </c>
      <c r="AT5" s="17" t="s">
        <v>15</v>
      </c>
    </row>
    <row r="6" spans="1:46" x14ac:dyDescent="0.2">
      <c r="A6" s="62" t="s">
        <v>31</v>
      </c>
      <c r="B6" s="10">
        <v>37.799999999999997</v>
      </c>
      <c r="C6" s="35">
        <f>IF(AND((B6&gt;0),(B$5&gt;0)),(B6/B$5*100),"")</f>
        <v>79.245283018867923</v>
      </c>
      <c r="D6" s="10">
        <v>29.6</v>
      </c>
      <c r="E6" s="35">
        <f>IF(AND((D6&gt;0),(D$5&gt;0)),(D6/D$5*100),"")</f>
        <v>77.284595300261103</v>
      </c>
      <c r="F6" s="10">
        <v>29.6</v>
      </c>
      <c r="G6" s="35">
        <f>IF(AND((F6&gt;0),(F$5&gt;0)),(F6/F$5*100),"")</f>
        <v>78.514588859416449</v>
      </c>
      <c r="H6" s="10">
        <v>25.5</v>
      </c>
      <c r="I6" s="35">
        <f>IF(AND((H6&gt;0),(H$5&gt;0)),(H6/H$5*100),"")</f>
        <v>80.188679245283012</v>
      </c>
      <c r="J6" s="10">
        <v>35.5</v>
      </c>
      <c r="K6" s="35">
        <f>IF(AND((J6&gt;0),(J$5&gt;0)),(J6/J$5*100),"")</f>
        <v>78.021978021978029</v>
      </c>
      <c r="L6" s="10">
        <v>33.9</v>
      </c>
      <c r="M6" s="35">
        <f>IF(AND((L6&gt;0),(L$5&gt;0)),(L6/L$5*100),"")</f>
        <v>77.045454545454533</v>
      </c>
      <c r="N6" s="10">
        <v>27.9</v>
      </c>
      <c r="O6" s="35">
        <f>IF(AND((N6&gt;0),(N$5&gt;0)),(N6/N$5*100),"")</f>
        <v>78.813559322033896</v>
      </c>
      <c r="P6" s="10">
        <v>19.100000000000001</v>
      </c>
      <c r="Q6" s="35">
        <f>IF(AND((P6&gt;0),(P$5&gt;0)),(P6/P$5*100),"")</f>
        <v>76.400000000000006</v>
      </c>
      <c r="R6" s="10"/>
      <c r="S6" s="35" t="str">
        <f>IF(AND((R6&gt;0),(R$5&gt;0)),(R6/R$5*100),"")</f>
        <v/>
      </c>
      <c r="T6" s="10"/>
      <c r="U6" s="35" t="str">
        <f>IF(AND((T6&gt;0),(T$5&gt;0)),(T6/T$5*100),"")</f>
        <v/>
      </c>
      <c r="V6" s="10"/>
      <c r="W6" s="35" t="str">
        <f>IF(AND((V6&gt;0),(V$5&gt;0)),(V6/V$5*100),"")</f>
        <v/>
      </c>
      <c r="X6" s="10"/>
      <c r="Y6" s="35" t="str">
        <f>IF(AND((X6&gt;0),(X$5&gt;0)),(X6/X$5*100),"")</f>
        <v/>
      </c>
      <c r="Z6" s="10"/>
      <c r="AA6" s="35" t="str">
        <f>IF(AND((Z6&gt;0),(Z$5&gt;0)),(Z6/Z$5*100),"")</f>
        <v/>
      </c>
      <c r="AB6" s="10"/>
      <c r="AC6" s="35" t="str">
        <f>IF(AND((AB6&gt;0),(AB$5&gt;0)),(AB6/AB$5*100),"")</f>
        <v/>
      </c>
      <c r="AD6" s="10"/>
      <c r="AE6" s="35" t="str">
        <f>IF(AND((AD6&gt;0),(AD$5&gt;0)),(AD6/AD$5*100),"")</f>
        <v/>
      </c>
      <c r="AG6" s="11" t="str">
        <f t="shared" si="0"/>
        <v xml:space="preserve">     Stylet support insertion point</v>
      </c>
      <c r="AH6" s="12">
        <f t="shared" ref="AH6:AH34" si="9">COUNT(B6,D6,F6,H6,J6,L6,N6,P6,R6,T6,V6,X6,Z6,AB6,AD6)</f>
        <v>8</v>
      </c>
      <c r="AI6" s="13">
        <f t="shared" si="1"/>
        <v>19.100000000000001</v>
      </c>
      <c r="AJ6" s="14" t="str">
        <f t="shared" si="2"/>
        <v>–</v>
      </c>
      <c r="AK6" s="15">
        <f t="shared" si="3"/>
        <v>37.799999999999997</v>
      </c>
      <c r="AL6" s="16">
        <f t="shared" si="4"/>
        <v>76.400000000000006</v>
      </c>
      <c r="AM6" s="17" t="str">
        <f t="shared" ref="AM6:AM35" si="10">IF(COUNT(AL6)&gt;0,"–","?")</f>
        <v>–</v>
      </c>
      <c r="AN6" s="18">
        <f t="shared" si="5"/>
        <v>80.188679245283012</v>
      </c>
      <c r="AO6" s="87">
        <f t="shared" si="6"/>
        <v>29.862500000000001</v>
      </c>
      <c r="AP6" s="19">
        <f t="shared" ref="AP6:AP35" si="11">IF(SUM(C6,E6,G6,I6,K6,M6,O6,Q6,S6,U6,W6,Y6,AA6,AC6,AE6)&gt;0,AVERAGE(C6,E6,G6,I6,K6,M6,O6,Q6,S6,U6,W6,Y6,AA6,AC6,AE6),"?")</f>
        <v>78.189267289161876</v>
      </c>
      <c r="AQ6" s="14">
        <f t="shared" si="7"/>
        <v>5.9754109243035121</v>
      </c>
      <c r="AR6" s="20">
        <f t="shared" ref="AR6:AR35" si="12">IF(COUNT(C6,E6,G6,I6,K6,M6,O6,Q6,S6,U6,W6,Y6,AA6,AC6,AE6)&gt;1,STDEV(C6,E6,G6,I6,K6,M6,O6,Q6,S6,U6,W6,Y6,AA6,AC6,AE6),"?")</f>
        <v>1.2515472817502855</v>
      </c>
      <c r="AS6" s="14">
        <f t="shared" si="8"/>
        <v>37.799999999999997</v>
      </c>
      <c r="AT6" s="17">
        <f t="shared" ref="AT6:AT35" si="13">IF(COUNT(C6)&gt;0,C6,"?")</f>
        <v>79.245283018867923</v>
      </c>
    </row>
    <row r="7" spans="1:46" x14ac:dyDescent="0.2">
      <c r="A7" s="62" t="s">
        <v>32</v>
      </c>
      <c r="B7" s="10">
        <v>6.7</v>
      </c>
      <c r="C7" s="35">
        <f>IF(AND((B7&gt;0),(B$5&gt;0)),(B7/B$5*100),"")</f>
        <v>14.046121593291405</v>
      </c>
      <c r="D7" s="10">
        <v>5.4</v>
      </c>
      <c r="E7" s="35">
        <f>IF(AND((D7&gt;0),(D$5&gt;0)),(D7/D$5*100),"")</f>
        <v>14.099216710182768</v>
      </c>
      <c r="F7" s="10">
        <v>5.7</v>
      </c>
      <c r="G7" s="35">
        <f>IF(AND((F7&gt;0),(F$5&gt;0)),(F7/F$5*100),"")</f>
        <v>15.119363395225463</v>
      </c>
      <c r="H7" s="10">
        <v>4.5999999999999996</v>
      </c>
      <c r="I7" s="35">
        <f>IF(AND((H7&gt;0),(H$5&gt;0)),(H7/H$5*100),"")</f>
        <v>14.465408805031446</v>
      </c>
      <c r="J7" s="10">
        <v>6.8</v>
      </c>
      <c r="K7" s="35">
        <f>IF(AND((J7&gt;0),(J$5&gt;0)),(J7/J$5*100),"")</f>
        <v>14.945054945054945</v>
      </c>
      <c r="L7" s="10">
        <v>5.0999999999999996</v>
      </c>
      <c r="M7" s="35">
        <f>IF(AND((L7&gt;0),(L$5&gt;0)),(L7/L$5*100),"")</f>
        <v>11.59090909090909</v>
      </c>
      <c r="N7" s="10">
        <v>4.7</v>
      </c>
      <c r="O7" s="35">
        <f>IF(AND((N7&gt;0),(N$5&gt;0)),(N7/N$5*100),"")</f>
        <v>13.27683615819209</v>
      </c>
      <c r="P7" s="10">
        <v>3</v>
      </c>
      <c r="Q7" s="35">
        <f>IF(AND((P7&gt;0),(P$5&gt;0)),(P7/P$5*100),"")</f>
        <v>12</v>
      </c>
      <c r="R7" s="10"/>
      <c r="S7" s="35" t="str">
        <f>IF(AND((R7&gt;0),(R$5&gt;0)),(R7/R$5*100),"")</f>
        <v/>
      </c>
      <c r="T7" s="10"/>
      <c r="U7" s="35" t="str">
        <f>IF(AND((T7&gt;0),(T$5&gt;0)),(T7/T$5*100),"")</f>
        <v/>
      </c>
      <c r="V7" s="10"/>
      <c r="W7" s="35" t="str">
        <f>IF(AND((V7&gt;0),(V$5&gt;0)),(V7/V$5*100),"")</f>
        <v/>
      </c>
      <c r="X7" s="10"/>
      <c r="Y7" s="35" t="str">
        <f>IF(AND((X7&gt;0),(X$5&gt;0)),(X7/X$5*100),"")</f>
        <v/>
      </c>
      <c r="Z7" s="10"/>
      <c r="AA7" s="35" t="str">
        <f>IF(AND((Z7&gt;0),(Z$5&gt;0)),(Z7/Z$5*100),"")</f>
        <v/>
      </c>
      <c r="AB7" s="10"/>
      <c r="AC7" s="35" t="str">
        <f>IF(AND((AB7&gt;0),(AB$5&gt;0)),(AB7/AB$5*100),"")</f>
        <v/>
      </c>
      <c r="AD7" s="10"/>
      <c r="AE7" s="35" t="str">
        <f>IF(AND((AD7&gt;0),(AD$5&gt;0)),(AD7/AD$5*100),"")</f>
        <v/>
      </c>
      <c r="AG7" s="11" t="str">
        <f t="shared" si="0"/>
        <v xml:space="preserve">     External width</v>
      </c>
      <c r="AH7" s="12">
        <f t="shared" si="9"/>
        <v>8</v>
      </c>
      <c r="AI7" s="13">
        <f t="shared" si="1"/>
        <v>3</v>
      </c>
      <c r="AJ7" s="14" t="str">
        <f t="shared" si="2"/>
        <v>–</v>
      </c>
      <c r="AK7" s="15">
        <f t="shared" si="3"/>
        <v>6.8</v>
      </c>
      <c r="AL7" s="16">
        <f t="shared" si="4"/>
        <v>11.59090909090909</v>
      </c>
      <c r="AM7" s="17" t="str">
        <f t="shared" si="10"/>
        <v>–</v>
      </c>
      <c r="AN7" s="18">
        <f t="shared" si="5"/>
        <v>15.119363395225463</v>
      </c>
      <c r="AO7" s="87">
        <f t="shared" si="6"/>
        <v>5.25</v>
      </c>
      <c r="AP7" s="19">
        <f t="shared" si="11"/>
        <v>13.692863837235901</v>
      </c>
      <c r="AQ7" s="14">
        <f t="shared" si="7"/>
        <v>1.2270755012281374</v>
      </c>
      <c r="AR7" s="20">
        <f t="shared" si="12"/>
        <v>1.3063965566743785</v>
      </c>
      <c r="AS7" s="14">
        <f t="shared" si="8"/>
        <v>6.7</v>
      </c>
      <c r="AT7" s="17">
        <f t="shared" si="13"/>
        <v>14.046121593291405</v>
      </c>
    </row>
    <row r="8" spans="1:46" x14ac:dyDescent="0.2">
      <c r="A8" s="62" t="s">
        <v>33</v>
      </c>
      <c r="B8" s="10">
        <v>4.4000000000000004</v>
      </c>
      <c r="C8" s="35">
        <f>IF(AND((B8&gt;0),(B$5&gt;0)),(B8/B$5*100),"")</f>
        <v>9.2243186582809216</v>
      </c>
      <c r="D8" s="10">
        <v>4.4000000000000004</v>
      </c>
      <c r="E8" s="35">
        <f t="shared" ref="E8:AE9" si="14">IF(AND((D8&gt;0),(D$5&gt;0)),(D8/D$5*100),"")</f>
        <v>11.488250652741517</v>
      </c>
      <c r="F8" s="10">
        <v>4.2</v>
      </c>
      <c r="G8" s="35">
        <f t="shared" si="14"/>
        <v>11.140583554376656</v>
      </c>
      <c r="H8" s="10">
        <v>2.8</v>
      </c>
      <c r="I8" s="35">
        <f t="shared" si="14"/>
        <v>8.8050314465408803</v>
      </c>
      <c r="J8" s="10">
        <v>5</v>
      </c>
      <c r="K8" s="35">
        <f t="shared" si="14"/>
        <v>10.989010989010989</v>
      </c>
      <c r="L8" s="10">
        <v>3.5</v>
      </c>
      <c r="M8" s="35">
        <f t="shared" si="14"/>
        <v>7.9545454545454541</v>
      </c>
      <c r="N8" s="10">
        <v>2.9</v>
      </c>
      <c r="O8" s="35">
        <f t="shared" si="14"/>
        <v>8.1920903954802249</v>
      </c>
      <c r="P8" s="10">
        <v>1.8</v>
      </c>
      <c r="Q8" s="35">
        <f t="shared" si="14"/>
        <v>7.2000000000000011</v>
      </c>
      <c r="R8" s="10"/>
      <c r="S8" s="35" t="str">
        <f t="shared" si="14"/>
        <v/>
      </c>
      <c r="T8" s="10"/>
      <c r="U8" s="35" t="str">
        <f t="shared" si="14"/>
        <v/>
      </c>
      <c r="V8" s="10"/>
      <c r="W8" s="35" t="str">
        <f t="shared" si="14"/>
        <v/>
      </c>
      <c r="X8" s="10"/>
      <c r="Y8" s="35" t="str">
        <f t="shared" si="14"/>
        <v/>
      </c>
      <c r="Z8" s="10"/>
      <c r="AA8" s="35" t="str">
        <f t="shared" si="14"/>
        <v/>
      </c>
      <c r="AB8" s="10"/>
      <c r="AC8" s="35" t="str">
        <f t="shared" si="14"/>
        <v/>
      </c>
      <c r="AD8" s="10"/>
      <c r="AE8" s="35" t="str">
        <f t="shared" si="14"/>
        <v/>
      </c>
      <c r="AG8" s="11" t="str">
        <f t="shared" si="0"/>
        <v xml:space="preserve">     Internal width</v>
      </c>
      <c r="AH8" s="12">
        <f t="shared" si="9"/>
        <v>8</v>
      </c>
      <c r="AI8" s="13">
        <f t="shared" si="1"/>
        <v>1.8</v>
      </c>
      <c r="AJ8" s="14" t="str">
        <f t="shared" si="2"/>
        <v>–</v>
      </c>
      <c r="AK8" s="15">
        <f t="shared" si="3"/>
        <v>5</v>
      </c>
      <c r="AL8" s="16">
        <f t="shared" si="4"/>
        <v>7.2000000000000011</v>
      </c>
      <c r="AM8" s="17" t="str">
        <f t="shared" si="10"/>
        <v>–</v>
      </c>
      <c r="AN8" s="18">
        <f t="shared" si="5"/>
        <v>11.488250652741517</v>
      </c>
      <c r="AO8" s="87">
        <f t="shared" si="6"/>
        <v>3.625</v>
      </c>
      <c r="AP8" s="19">
        <f t="shared" si="11"/>
        <v>9.3742288938720808</v>
      </c>
      <c r="AQ8" s="14">
        <f t="shared" si="7"/>
        <v>1.067373277858179</v>
      </c>
      <c r="AR8" s="20">
        <f t="shared" si="12"/>
        <v>1.6337205824852146</v>
      </c>
      <c r="AS8" s="14">
        <f t="shared" si="8"/>
        <v>4.4000000000000004</v>
      </c>
      <c r="AT8" s="17">
        <f t="shared" si="13"/>
        <v>9.2243186582809216</v>
      </c>
    </row>
    <row r="9" spans="1:46" x14ac:dyDescent="0.2">
      <c r="A9" s="9" t="s">
        <v>34</v>
      </c>
      <c r="B9" s="10">
        <v>29.3</v>
      </c>
      <c r="C9" s="35">
        <f>IF(AND((B9&gt;0),(B$5&gt;0)),(B9/B$5*100),"")</f>
        <v>61.425576519916135</v>
      </c>
      <c r="D9" s="10">
        <v>24.8</v>
      </c>
      <c r="E9" s="35">
        <f t="shared" si="14"/>
        <v>64.751958224543088</v>
      </c>
      <c r="F9" s="10">
        <v>23.8</v>
      </c>
      <c r="G9" s="35">
        <f t="shared" si="14"/>
        <v>63.129973474801062</v>
      </c>
      <c r="H9" s="10">
        <v>20.399999999999999</v>
      </c>
      <c r="I9" s="35">
        <f t="shared" si="14"/>
        <v>64.15094339622641</v>
      </c>
      <c r="J9" s="10">
        <v>29</v>
      </c>
      <c r="K9" s="35">
        <f t="shared" si="14"/>
        <v>63.73626373626373</v>
      </c>
      <c r="L9" s="10">
        <v>26.6</v>
      </c>
      <c r="M9" s="35">
        <f t="shared" si="14"/>
        <v>60.45454545454546</v>
      </c>
      <c r="N9" s="10">
        <v>21.9</v>
      </c>
      <c r="O9" s="35">
        <f t="shared" si="14"/>
        <v>61.864406779661017</v>
      </c>
      <c r="P9" s="10">
        <v>14.9</v>
      </c>
      <c r="Q9" s="35">
        <f t="shared" si="14"/>
        <v>59.599999999999994</v>
      </c>
      <c r="R9" s="10"/>
      <c r="S9" s="35" t="str">
        <f t="shared" si="14"/>
        <v/>
      </c>
      <c r="T9" s="10"/>
      <c r="U9" s="35" t="str">
        <f t="shared" si="14"/>
        <v/>
      </c>
      <c r="V9" s="10"/>
      <c r="W9" s="35" t="str">
        <f t="shared" si="14"/>
        <v/>
      </c>
      <c r="X9" s="10"/>
      <c r="Y9" s="35" t="str">
        <f t="shared" si="14"/>
        <v/>
      </c>
      <c r="Z9" s="10"/>
      <c r="AA9" s="35" t="str">
        <f t="shared" si="14"/>
        <v/>
      </c>
      <c r="AB9" s="10"/>
      <c r="AC9" s="35" t="str">
        <f t="shared" si="14"/>
        <v/>
      </c>
      <c r="AD9" s="10"/>
      <c r="AE9" s="35" t="str">
        <f t="shared" si="14"/>
        <v/>
      </c>
      <c r="AG9" s="11" t="str">
        <f t="shared" si="0"/>
        <v xml:space="preserve">     Ventral lamina length</v>
      </c>
      <c r="AH9" s="12">
        <f t="shared" si="9"/>
        <v>8</v>
      </c>
      <c r="AI9" s="13">
        <f t="shared" si="1"/>
        <v>14.9</v>
      </c>
      <c r="AJ9" s="14" t="str">
        <f t="shared" si="2"/>
        <v>–</v>
      </c>
      <c r="AK9" s="15">
        <f t="shared" si="3"/>
        <v>29.3</v>
      </c>
      <c r="AL9" s="16">
        <f t="shared" si="4"/>
        <v>59.599999999999994</v>
      </c>
      <c r="AM9" s="17" t="str">
        <f t="shared" si="10"/>
        <v>–</v>
      </c>
      <c r="AN9" s="18">
        <f t="shared" si="5"/>
        <v>64.751958224543088</v>
      </c>
      <c r="AO9" s="87">
        <f t="shared" si="6"/>
        <v>23.837500000000002</v>
      </c>
      <c r="AP9" s="19">
        <f t="shared" si="11"/>
        <v>62.389208448244602</v>
      </c>
      <c r="AQ9" s="14">
        <f t="shared" si="7"/>
        <v>4.7883601427986617</v>
      </c>
      <c r="AR9" s="20">
        <f t="shared" si="12"/>
        <v>1.8429865226031776</v>
      </c>
      <c r="AS9" s="14">
        <f t="shared" si="8"/>
        <v>29.3</v>
      </c>
      <c r="AT9" s="17">
        <f t="shared" si="13"/>
        <v>61.425576519916135</v>
      </c>
    </row>
    <row r="10" spans="1:46" x14ac:dyDescent="0.2">
      <c r="A10" s="61" t="s">
        <v>52</v>
      </c>
      <c r="B10" s="63"/>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141"/>
      <c r="AG10" s="11" t="str">
        <f t="shared" si="0"/>
        <v>Placoid lengths</v>
      </c>
      <c r="AH10" s="12"/>
      <c r="AI10" s="13"/>
      <c r="AJ10" s="14"/>
      <c r="AK10" s="15"/>
      <c r="AL10" s="16"/>
      <c r="AM10" s="17"/>
      <c r="AN10" s="18"/>
      <c r="AO10" s="87"/>
      <c r="AP10" s="19"/>
      <c r="AQ10" s="14"/>
      <c r="AR10" s="20"/>
      <c r="AS10" s="14"/>
      <c r="AT10" s="17"/>
    </row>
    <row r="11" spans="1:46" x14ac:dyDescent="0.2">
      <c r="A11" s="9" t="s">
        <v>36</v>
      </c>
      <c r="B11" s="10">
        <v>13.1</v>
      </c>
      <c r="C11" s="35">
        <f t="shared" ref="C11:C15" si="15">IF(AND((B11&gt;0),(B$5&gt;0)),(B11/B$5*100),"")</f>
        <v>27.463312368972741</v>
      </c>
      <c r="D11" s="10">
        <v>10.4</v>
      </c>
      <c r="E11" s="35">
        <f t="shared" ref="E11:E15" si="16">IF(AND((D11&gt;0),(D$5&gt;0)),(D11/D$5*100),"")</f>
        <v>27.154046997389038</v>
      </c>
      <c r="F11" s="10">
        <v>10.5</v>
      </c>
      <c r="G11" s="35">
        <f t="shared" ref="G11:G15" si="17">IF(AND((F11&gt;0),(F$5&gt;0)),(F11/F$5*100),"")</f>
        <v>27.851458885941643</v>
      </c>
      <c r="H11" s="10">
        <v>8.1999999999999993</v>
      </c>
      <c r="I11" s="35">
        <f t="shared" ref="I11:I15" si="18">IF(AND((H11&gt;0),(H$5&gt;0)),(H11/H$5*100),"")</f>
        <v>25.786163522012579</v>
      </c>
      <c r="J11" s="10">
        <v>11.2</v>
      </c>
      <c r="K11" s="35">
        <f t="shared" ref="K11:K15" si="19">IF(AND((J11&gt;0),(J$5&gt;0)),(J11/J$5*100),"")</f>
        <v>24.615384615384613</v>
      </c>
      <c r="L11" s="10">
        <v>12.6</v>
      </c>
      <c r="M11" s="35">
        <f t="shared" ref="M11:M15" si="20">IF(AND((L11&gt;0),(L$5&gt;0)),(L11/L$5*100),"")</f>
        <v>28.636363636363637</v>
      </c>
      <c r="N11" s="10">
        <v>9.9</v>
      </c>
      <c r="O11" s="35">
        <f t="shared" ref="O11:O15" si="21">IF(AND((N11&gt;0),(N$5&gt;0)),(N11/N$5*100),"")</f>
        <v>27.966101694915256</v>
      </c>
      <c r="P11" s="10">
        <v>5.3</v>
      </c>
      <c r="Q11" s="35">
        <f t="shared" ref="Q11:Q15" si="22">IF(AND((P11&gt;0),(P$5&gt;0)),(P11/P$5*100),"")</f>
        <v>21.2</v>
      </c>
      <c r="R11" s="10"/>
      <c r="S11" s="35" t="str">
        <f t="shared" ref="S11:S15" si="23">IF(AND((R11&gt;0),(R$5&gt;0)),(R11/R$5*100),"")</f>
        <v/>
      </c>
      <c r="T11" s="10"/>
      <c r="U11" s="35" t="str">
        <f t="shared" ref="U11:U15" si="24">IF(AND((T11&gt;0),(T$5&gt;0)),(T11/T$5*100),"")</f>
        <v/>
      </c>
      <c r="V11" s="10"/>
      <c r="W11" s="35" t="str">
        <f t="shared" ref="W11:W15" si="25">IF(AND((V11&gt;0),(V$5&gt;0)),(V11/V$5*100),"")</f>
        <v/>
      </c>
      <c r="X11" s="10"/>
      <c r="Y11" s="35" t="str">
        <f t="shared" ref="Y11:Y15" si="26">IF(AND((X11&gt;0),(X$5&gt;0)),(X11/X$5*100),"")</f>
        <v/>
      </c>
      <c r="Z11" s="10"/>
      <c r="AA11" s="35" t="str">
        <f t="shared" ref="AA11:AA15" si="27">IF(AND((Z11&gt;0),(Z$5&gt;0)),(Z11/Z$5*100),"")</f>
        <v/>
      </c>
      <c r="AB11" s="10"/>
      <c r="AC11" s="35" t="str">
        <f t="shared" ref="AC11:AC15" si="28">IF(AND((AB11&gt;0),(AB$5&gt;0)),(AB11/AB$5*100),"")</f>
        <v/>
      </c>
      <c r="AD11" s="10"/>
      <c r="AE11" s="35" t="str">
        <f t="shared" ref="AE11:AE15" si="29">IF(AND((AD11&gt;0),(AD$5&gt;0)),(AD11/AD$5*100),"")</f>
        <v/>
      </c>
      <c r="AG11" s="11" t="str">
        <f t="shared" si="0"/>
        <v xml:space="preserve">     Macroplacoid 1</v>
      </c>
      <c r="AH11" s="12">
        <f t="shared" si="9"/>
        <v>8</v>
      </c>
      <c r="AI11" s="13">
        <f t="shared" si="1"/>
        <v>5.3</v>
      </c>
      <c r="AJ11" s="14" t="str">
        <f t="shared" si="2"/>
        <v>–</v>
      </c>
      <c r="AK11" s="15">
        <f t="shared" si="3"/>
        <v>13.1</v>
      </c>
      <c r="AL11" s="16">
        <f t="shared" si="4"/>
        <v>21.2</v>
      </c>
      <c r="AM11" s="17" t="str">
        <f t="shared" si="10"/>
        <v>–</v>
      </c>
      <c r="AN11" s="18">
        <f t="shared" si="5"/>
        <v>28.636363636363637</v>
      </c>
      <c r="AO11" s="87">
        <f t="shared" si="6"/>
        <v>10.15</v>
      </c>
      <c r="AP11" s="19">
        <f t="shared" si="11"/>
        <v>26.334103965122438</v>
      </c>
      <c r="AQ11" s="14">
        <f t="shared" si="7"/>
        <v>2.4894061253927293</v>
      </c>
      <c r="AR11" s="20">
        <f t="shared" si="12"/>
        <v>2.4444356284701581</v>
      </c>
      <c r="AS11" s="14">
        <f t="shared" si="8"/>
        <v>13.1</v>
      </c>
      <c r="AT11" s="17">
        <f t="shared" si="13"/>
        <v>27.463312368972741</v>
      </c>
    </row>
    <row r="12" spans="1:46" x14ac:dyDescent="0.2">
      <c r="A12" s="9" t="s">
        <v>37</v>
      </c>
      <c r="B12" s="10">
        <v>8.6</v>
      </c>
      <c r="C12" s="35">
        <f t="shared" si="15"/>
        <v>18.029350104821802</v>
      </c>
      <c r="D12" s="10">
        <v>6.5</v>
      </c>
      <c r="E12" s="35">
        <f t="shared" si="16"/>
        <v>16.971279373368148</v>
      </c>
      <c r="F12" s="10">
        <v>6.5</v>
      </c>
      <c r="G12" s="35">
        <f t="shared" si="17"/>
        <v>17.241379310344826</v>
      </c>
      <c r="H12" s="10">
        <v>5.5</v>
      </c>
      <c r="I12" s="35">
        <f t="shared" si="18"/>
        <v>17.29559748427673</v>
      </c>
      <c r="J12" s="10">
        <v>8.6</v>
      </c>
      <c r="K12" s="35">
        <f t="shared" si="19"/>
        <v>18.901098901098901</v>
      </c>
      <c r="L12" s="10">
        <v>8.1999999999999993</v>
      </c>
      <c r="M12" s="35">
        <f t="shared" si="20"/>
        <v>18.636363636363633</v>
      </c>
      <c r="N12" s="10">
        <v>6.3</v>
      </c>
      <c r="O12" s="35">
        <f t="shared" si="21"/>
        <v>17.796610169491526</v>
      </c>
      <c r="P12" s="10">
        <v>3.8</v>
      </c>
      <c r="Q12" s="35">
        <f t="shared" si="22"/>
        <v>15.2</v>
      </c>
      <c r="R12" s="10"/>
      <c r="S12" s="35" t="str">
        <f t="shared" si="23"/>
        <v/>
      </c>
      <c r="T12" s="10"/>
      <c r="U12" s="35" t="str">
        <f t="shared" si="24"/>
        <v/>
      </c>
      <c r="V12" s="10"/>
      <c r="W12" s="35" t="str">
        <f t="shared" si="25"/>
        <v/>
      </c>
      <c r="X12" s="10"/>
      <c r="Y12" s="35" t="str">
        <f t="shared" si="26"/>
        <v/>
      </c>
      <c r="Z12" s="10"/>
      <c r="AA12" s="35" t="str">
        <f t="shared" si="27"/>
        <v/>
      </c>
      <c r="AB12" s="10"/>
      <c r="AC12" s="35" t="str">
        <f t="shared" si="28"/>
        <v/>
      </c>
      <c r="AD12" s="10"/>
      <c r="AE12" s="35" t="str">
        <f t="shared" si="29"/>
        <v/>
      </c>
      <c r="AG12" s="11" t="str">
        <f t="shared" si="0"/>
        <v xml:space="preserve">     Macroplacoid 2</v>
      </c>
      <c r="AH12" s="12">
        <f t="shared" si="9"/>
        <v>8</v>
      </c>
      <c r="AI12" s="13">
        <f t="shared" si="1"/>
        <v>3.8</v>
      </c>
      <c r="AJ12" s="14" t="str">
        <f t="shared" si="2"/>
        <v>–</v>
      </c>
      <c r="AK12" s="15">
        <f t="shared" si="3"/>
        <v>8.6</v>
      </c>
      <c r="AL12" s="16">
        <f t="shared" si="4"/>
        <v>15.2</v>
      </c>
      <c r="AM12" s="17" t="str">
        <f t="shared" si="10"/>
        <v>–</v>
      </c>
      <c r="AN12" s="18">
        <f t="shared" si="5"/>
        <v>18.901098901098901</v>
      </c>
      <c r="AO12" s="87">
        <f t="shared" si="6"/>
        <v>6.75</v>
      </c>
      <c r="AP12" s="19">
        <f t="shared" si="11"/>
        <v>17.508959872470697</v>
      </c>
      <c r="AQ12" s="14">
        <f t="shared" si="7"/>
        <v>1.6707568857941499</v>
      </c>
      <c r="AR12" s="20">
        <f t="shared" si="12"/>
        <v>1.1526465129611783</v>
      </c>
      <c r="AS12" s="14">
        <f t="shared" si="8"/>
        <v>8.6</v>
      </c>
      <c r="AT12" s="17">
        <f t="shared" si="13"/>
        <v>18.029350104821802</v>
      </c>
    </row>
    <row r="13" spans="1:46" x14ac:dyDescent="0.2">
      <c r="A13" s="9" t="s">
        <v>38</v>
      </c>
      <c r="B13" s="10">
        <v>3.2</v>
      </c>
      <c r="C13" s="35">
        <f t="shared" si="15"/>
        <v>6.7085953878406714</v>
      </c>
      <c r="D13" s="10">
        <v>3</v>
      </c>
      <c r="E13" s="35">
        <f t="shared" si="16"/>
        <v>7.8328981723237598</v>
      </c>
      <c r="F13" s="10">
        <v>2.2000000000000002</v>
      </c>
      <c r="G13" s="35">
        <f t="shared" si="17"/>
        <v>5.8355437665782492</v>
      </c>
      <c r="H13" s="10">
        <v>2.2000000000000002</v>
      </c>
      <c r="I13" s="35">
        <f t="shared" si="18"/>
        <v>6.9182389937106921</v>
      </c>
      <c r="J13" s="10"/>
      <c r="K13" s="35" t="str">
        <f t="shared" si="19"/>
        <v/>
      </c>
      <c r="L13" s="10">
        <v>3.3</v>
      </c>
      <c r="M13" s="35">
        <f t="shared" si="20"/>
        <v>7.5</v>
      </c>
      <c r="N13" s="10">
        <v>3</v>
      </c>
      <c r="O13" s="35">
        <f t="shared" si="21"/>
        <v>8.4745762711864412</v>
      </c>
      <c r="P13" s="10">
        <v>2.1</v>
      </c>
      <c r="Q13" s="35">
        <f t="shared" si="22"/>
        <v>8.4</v>
      </c>
      <c r="R13" s="10"/>
      <c r="S13" s="35" t="str">
        <f t="shared" si="23"/>
        <v/>
      </c>
      <c r="T13" s="10"/>
      <c r="U13" s="35" t="str">
        <f t="shared" si="24"/>
        <v/>
      </c>
      <c r="V13" s="10"/>
      <c r="W13" s="35" t="str">
        <f t="shared" si="25"/>
        <v/>
      </c>
      <c r="X13" s="10"/>
      <c r="Y13" s="35" t="str">
        <f t="shared" si="26"/>
        <v/>
      </c>
      <c r="Z13" s="10"/>
      <c r="AA13" s="35" t="str">
        <f t="shared" si="27"/>
        <v/>
      </c>
      <c r="AB13" s="10"/>
      <c r="AC13" s="35" t="str">
        <f t="shared" si="28"/>
        <v/>
      </c>
      <c r="AD13" s="10"/>
      <c r="AE13" s="35" t="str">
        <f t="shared" si="29"/>
        <v/>
      </c>
      <c r="AG13" s="11" t="str">
        <f t="shared" si="0"/>
        <v xml:space="preserve">     Microplacoid</v>
      </c>
      <c r="AH13" s="12">
        <f t="shared" si="9"/>
        <v>7</v>
      </c>
      <c r="AI13" s="13">
        <f t="shared" si="1"/>
        <v>2.1</v>
      </c>
      <c r="AJ13" s="14" t="str">
        <f t="shared" si="2"/>
        <v>–</v>
      </c>
      <c r="AK13" s="15">
        <f t="shared" si="3"/>
        <v>3.3</v>
      </c>
      <c r="AL13" s="16">
        <f t="shared" si="4"/>
        <v>5.8355437665782492</v>
      </c>
      <c r="AM13" s="17" t="str">
        <f t="shared" si="10"/>
        <v>–</v>
      </c>
      <c r="AN13" s="18">
        <f t="shared" si="5"/>
        <v>8.4745762711864412</v>
      </c>
      <c r="AO13" s="87">
        <f t="shared" si="6"/>
        <v>2.7142857142857149</v>
      </c>
      <c r="AP13" s="19">
        <f t="shared" si="11"/>
        <v>7.3814075130914016</v>
      </c>
      <c r="AQ13" s="14">
        <f t="shared" si="7"/>
        <v>0.52417736002416337</v>
      </c>
      <c r="AR13" s="20">
        <f t="shared" si="12"/>
        <v>0.95806685025979776</v>
      </c>
      <c r="AS13" s="14">
        <f t="shared" si="8"/>
        <v>3.2</v>
      </c>
      <c r="AT13" s="17">
        <f t="shared" si="13"/>
        <v>6.7085953878406714</v>
      </c>
    </row>
    <row r="14" spans="1:46" x14ac:dyDescent="0.2">
      <c r="A14" s="9" t="s">
        <v>39</v>
      </c>
      <c r="B14" s="10">
        <v>24.4</v>
      </c>
      <c r="C14" s="35">
        <f t="shared" si="15"/>
        <v>51.15303983228511</v>
      </c>
      <c r="D14" s="10">
        <v>19.600000000000001</v>
      </c>
      <c r="E14" s="35">
        <f t="shared" si="16"/>
        <v>51.174934725848573</v>
      </c>
      <c r="F14" s="10">
        <v>18</v>
      </c>
      <c r="G14" s="35">
        <f t="shared" si="17"/>
        <v>47.745358090185675</v>
      </c>
      <c r="H14" s="10">
        <v>15.7</v>
      </c>
      <c r="I14" s="35">
        <f t="shared" si="18"/>
        <v>49.371069182389931</v>
      </c>
      <c r="J14" s="10"/>
      <c r="K14" s="35" t="str">
        <f t="shared" si="19"/>
        <v/>
      </c>
      <c r="L14" s="10">
        <v>22.2</v>
      </c>
      <c r="M14" s="35">
        <f t="shared" si="20"/>
        <v>50.454545454545453</v>
      </c>
      <c r="N14" s="10">
        <v>17.5</v>
      </c>
      <c r="O14" s="35">
        <f t="shared" si="21"/>
        <v>49.435028248587571</v>
      </c>
      <c r="P14" s="10">
        <v>10.5</v>
      </c>
      <c r="Q14" s="35">
        <f t="shared" si="22"/>
        <v>42</v>
      </c>
      <c r="R14" s="10"/>
      <c r="S14" s="35" t="str">
        <f t="shared" si="23"/>
        <v/>
      </c>
      <c r="T14" s="10"/>
      <c r="U14" s="35" t="str">
        <f t="shared" si="24"/>
        <v/>
      </c>
      <c r="V14" s="10"/>
      <c r="W14" s="35" t="str">
        <f t="shared" si="25"/>
        <v/>
      </c>
      <c r="X14" s="10"/>
      <c r="Y14" s="35" t="str">
        <f t="shared" si="26"/>
        <v/>
      </c>
      <c r="Z14" s="10"/>
      <c r="AA14" s="35" t="str">
        <f t="shared" si="27"/>
        <v/>
      </c>
      <c r="AB14" s="10"/>
      <c r="AC14" s="35" t="str">
        <f t="shared" si="28"/>
        <v/>
      </c>
      <c r="AD14" s="10"/>
      <c r="AE14" s="35" t="str">
        <f t="shared" si="29"/>
        <v/>
      </c>
      <c r="AG14" s="11" t="str">
        <f t="shared" si="0"/>
        <v xml:space="preserve">     Macroplacoid row</v>
      </c>
      <c r="AH14" s="12">
        <f t="shared" si="9"/>
        <v>7</v>
      </c>
      <c r="AI14" s="13">
        <f t="shared" si="1"/>
        <v>10.5</v>
      </c>
      <c r="AJ14" s="14" t="str">
        <f t="shared" si="2"/>
        <v>–</v>
      </c>
      <c r="AK14" s="15">
        <f t="shared" si="3"/>
        <v>24.4</v>
      </c>
      <c r="AL14" s="16">
        <f t="shared" si="4"/>
        <v>42</v>
      </c>
      <c r="AM14" s="17" t="str">
        <f t="shared" si="10"/>
        <v>–</v>
      </c>
      <c r="AN14" s="18">
        <f t="shared" si="5"/>
        <v>51.174934725848573</v>
      </c>
      <c r="AO14" s="87">
        <f t="shared" si="6"/>
        <v>18.271428571428572</v>
      </c>
      <c r="AP14" s="19">
        <f t="shared" si="11"/>
        <v>48.761996504834613</v>
      </c>
      <c r="AQ14" s="14">
        <f t="shared" si="7"/>
        <v>4.5172684540233234</v>
      </c>
      <c r="AR14" s="20">
        <f t="shared" si="12"/>
        <v>3.2141917763651926</v>
      </c>
      <c r="AS14" s="14">
        <f t="shared" si="8"/>
        <v>24.4</v>
      </c>
      <c r="AT14" s="17">
        <f t="shared" si="13"/>
        <v>51.15303983228511</v>
      </c>
    </row>
    <row r="15" spans="1:46" x14ac:dyDescent="0.2">
      <c r="A15" s="9" t="s">
        <v>40</v>
      </c>
      <c r="B15" s="10">
        <v>29.7</v>
      </c>
      <c r="C15" s="35">
        <f t="shared" si="15"/>
        <v>62.264150943396224</v>
      </c>
      <c r="D15" s="10">
        <v>24</v>
      </c>
      <c r="E15" s="35">
        <f t="shared" si="16"/>
        <v>62.663185378590079</v>
      </c>
      <c r="F15" s="10">
        <v>21.7</v>
      </c>
      <c r="G15" s="35">
        <f t="shared" si="17"/>
        <v>57.559681697612731</v>
      </c>
      <c r="H15" s="10">
        <v>19.2</v>
      </c>
      <c r="I15" s="35">
        <f t="shared" si="18"/>
        <v>60.377358490566039</v>
      </c>
      <c r="J15" s="10"/>
      <c r="K15" s="35" t="str">
        <f t="shared" si="19"/>
        <v/>
      </c>
      <c r="L15" s="10">
        <v>27.6</v>
      </c>
      <c r="M15" s="35">
        <f t="shared" si="20"/>
        <v>62.727272727272734</v>
      </c>
      <c r="N15" s="10">
        <v>20.8</v>
      </c>
      <c r="O15" s="35">
        <f t="shared" si="21"/>
        <v>58.757062146892657</v>
      </c>
      <c r="P15" s="10">
        <v>12.2</v>
      </c>
      <c r="Q15" s="35">
        <f t="shared" si="22"/>
        <v>48.8</v>
      </c>
      <c r="R15" s="10"/>
      <c r="S15" s="35" t="str">
        <f t="shared" si="23"/>
        <v/>
      </c>
      <c r="T15" s="10"/>
      <c r="U15" s="35" t="str">
        <f t="shared" si="24"/>
        <v/>
      </c>
      <c r="V15" s="10"/>
      <c r="W15" s="35" t="str">
        <f t="shared" si="25"/>
        <v/>
      </c>
      <c r="X15" s="10"/>
      <c r="Y15" s="35" t="str">
        <f t="shared" si="26"/>
        <v/>
      </c>
      <c r="Z15" s="10"/>
      <c r="AA15" s="35" t="str">
        <f t="shared" si="27"/>
        <v/>
      </c>
      <c r="AB15" s="10"/>
      <c r="AC15" s="35" t="str">
        <f t="shared" si="28"/>
        <v/>
      </c>
      <c r="AD15" s="10"/>
      <c r="AE15" s="35" t="str">
        <f t="shared" si="29"/>
        <v/>
      </c>
      <c r="AG15" s="11" t="str">
        <f t="shared" si="0"/>
        <v xml:space="preserve">     Placoid row</v>
      </c>
      <c r="AH15" s="12">
        <f>COUNT(B15,D15,F15,H15,J15,L15,N15,P15,R15,T15,V15,X15,Z15,AB15,AD15)</f>
        <v>7</v>
      </c>
      <c r="AI15" s="13">
        <f t="shared" si="1"/>
        <v>12.2</v>
      </c>
      <c r="AJ15" s="14" t="str">
        <f t="shared" si="2"/>
        <v>–</v>
      </c>
      <c r="AK15" s="15">
        <f t="shared" si="3"/>
        <v>29.7</v>
      </c>
      <c r="AL15" s="16">
        <f t="shared" si="4"/>
        <v>48.8</v>
      </c>
      <c r="AM15" s="17" t="str">
        <f t="shared" si="10"/>
        <v>–</v>
      </c>
      <c r="AN15" s="18">
        <f t="shared" si="5"/>
        <v>62.727272727272734</v>
      </c>
      <c r="AO15" s="87">
        <f t="shared" si="6"/>
        <v>22.171428571428574</v>
      </c>
      <c r="AP15" s="19">
        <f t="shared" si="11"/>
        <v>59.02124448347579</v>
      </c>
      <c r="AQ15" s="14">
        <f t="shared" si="7"/>
        <v>5.7713991041209001</v>
      </c>
      <c r="AR15" s="20">
        <f t="shared" si="12"/>
        <v>4.9334515167766204</v>
      </c>
      <c r="AS15" s="14">
        <f t="shared" si="8"/>
        <v>29.7</v>
      </c>
      <c r="AT15" s="17">
        <f t="shared" si="13"/>
        <v>62.264150943396224</v>
      </c>
    </row>
    <row r="16" spans="1:46" x14ac:dyDescent="0.2">
      <c r="A16" s="61" t="s">
        <v>35</v>
      </c>
      <c r="B16" s="63"/>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141"/>
      <c r="AG16" s="11" t="str">
        <f t="shared" si="0"/>
        <v>Claw 1 lengths</v>
      </c>
      <c r="AH16" s="12"/>
      <c r="AI16" s="13"/>
      <c r="AJ16" s="14"/>
      <c r="AK16" s="15"/>
      <c r="AL16" s="16"/>
      <c r="AM16" s="17"/>
      <c r="AN16" s="18"/>
      <c r="AO16" s="87"/>
      <c r="AP16" s="19"/>
      <c r="AQ16" s="14"/>
      <c r="AR16" s="20"/>
      <c r="AS16" s="14"/>
      <c r="AT16" s="17"/>
    </row>
    <row r="17" spans="1:46" x14ac:dyDescent="0.2">
      <c r="A17" s="9" t="s">
        <v>41</v>
      </c>
      <c r="B17" s="10">
        <v>12.6</v>
      </c>
      <c r="C17" s="35">
        <f t="shared" ref="C17:C20" si="30">IF(AND((B17&gt;0),(B$5&gt;0)),(B17/B$5*100),"")</f>
        <v>26.415094339622641</v>
      </c>
      <c r="D17" s="10">
        <v>9</v>
      </c>
      <c r="E17" s="35">
        <f t="shared" ref="E17:E20" si="31">IF(AND((D17&gt;0),(D$5&gt;0)),(D17/D$5*100),"")</f>
        <v>23.49869451697128</v>
      </c>
      <c r="F17" s="10">
        <v>9.1999999999999993</v>
      </c>
      <c r="G17" s="35">
        <f t="shared" ref="G17:G20" si="32">IF(AND((F17&gt;0),(F$5&gt;0)),(F17/F$5*100),"")</f>
        <v>24.403183023872678</v>
      </c>
      <c r="H17" s="10"/>
      <c r="I17" s="35" t="str">
        <f t="shared" ref="I17:I20" si="33">IF(AND((H17&gt;0),(H$5&gt;0)),(H17/H$5*100),"")</f>
        <v/>
      </c>
      <c r="J17" s="10">
        <v>10.6</v>
      </c>
      <c r="K17" s="35">
        <f t="shared" ref="K17:K20" si="34">IF(AND((J17&gt;0),(J$5&gt;0)),(J17/J$5*100),"")</f>
        <v>23.296703296703296</v>
      </c>
      <c r="L17" s="10">
        <v>10.6</v>
      </c>
      <c r="M17" s="35">
        <f t="shared" ref="M17:M20" si="35">IF(AND((L17&gt;0),(L$5&gt;0)),(L17/L$5*100),"")</f>
        <v>24.09090909090909</v>
      </c>
      <c r="N17" s="10">
        <v>8.8000000000000007</v>
      </c>
      <c r="O17" s="35">
        <f t="shared" ref="O17:O20" si="36">IF(AND((N17&gt;0),(N$5&gt;0)),(N17/N$5*100),"")</f>
        <v>24.858757062146896</v>
      </c>
      <c r="P17" s="10">
        <v>6.5</v>
      </c>
      <c r="Q17" s="35">
        <f t="shared" ref="Q17:Q20" si="37">IF(AND((P17&gt;0),(P$5&gt;0)),(P17/P$5*100),"")</f>
        <v>26</v>
      </c>
      <c r="R17" s="10"/>
      <c r="S17" s="35" t="str">
        <f t="shared" ref="S17:S20" si="38">IF(AND((R17&gt;0),(R$5&gt;0)),(R17/R$5*100),"")</f>
        <v/>
      </c>
      <c r="T17" s="10"/>
      <c r="U17" s="35" t="str">
        <f t="shared" ref="U17:U20" si="39">IF(AND((T17&gt;0),(T$5&gt;0)),(T17/T$5*100),"")</f>
        <v/>
      </c>
      <c r="V17" s="10"/>
      <c r="W17" s="35" t="str">
        <f t="shared" ref="W17:W20" si="40">IF(AND((V17&gt;0),(V$5&gt;0)),(V17/V$5*100),"")</f>
        <v/>
      </c>
      <c r="X17" s="10"/>
      <c r="Y17" s="35" t="str">
        <f t="shared" ref="Y17:Y20" si="41">IF(AND((X17&gt;0),(X$5&gt;0)),(X17/X$5*100),"")</f>
        <v/>
      </c>
      <c r="Z17" s="10"/>
      <c r="AA17" s="35" t="str">
        <f t="shared" ref="AA17:AA20" si="42">IF(AND((Z17&gt;0),(Z$5&gt;0)),(Z17/Z$5*100),"")</f>
        <v/>
      </c>
      <c r="AB17" s="10"/>
      <c r="AC17" s="35" t="str">
        <f t="shared" ref="AC17:AC20" si="43">IF(AND((AB17&gt;0),(AB$5&gt;0)),(AB17/AB$5*100),"")</f>
        <v/>
      </c>
      <c r="AD17" s="10"/>
      <c r="AE17" s="35" t="str">
        <f t="shared" ref="AE17:AE20" si="44">IF(AND((AD17&gt;0),(AD$5&gt;0)),(AD17/AD$5*100),"")</f>
        <v/>
      </c>
      <c r="AG17" s="11" t="str">
        <f t="shared" si="0"/>
        <v xml:space="preserve">     External primary branch</v>
      </c>
      <c r="AH17" s="12">
        <f t="shared" si="9"/>
        <v>7</v>
      </c>
      <c r="AI17" s="13">
        <f t="shared" si="1"/>
        <v>6.5</v>
      </c>
      <c r="AJ17" s="14" t="str">
        <f t="shared" si="2"/>
        <v>–</v>
      </c>
      <c r="AK17" s="15">
        <f t="shared" si="3"/>
        <v>12.6</v>
      </c>
      <c r="AL17" s="16">
        <f t="shared" si="4"/>
        <v>23.296703296703296</v>
      </c>
      <c r="AM17" s="17" t="str">
        <f t="shared" si="10"/>
        <v>–</v>
      </c>
      <c r="AN17" s="18">
        <f t="shared" si="5"/>
        <v>26.415094339622641</v>
      </c>
      <c r="AO17" s="87">
        <f t="shared" si="6"/>
        <v>9.6142857142857139</v>
      </c>
      <c r="AP17" s="19">
        <f t="shared" si="11"/>
        <v>24.651905904317989</v>
      </c>
      <c r="AQ17" s="14">
        <f t="shared" si="7"/>
        <v>1.904755952371654</v>
      </c>
      <c r="AR17" s="20">
        <f t="shared" si="12"/>
        <v>1.1910800181770369</v>
      </c>
      <c r="AS17" s="14">
        <f t="shared" si="8"/>
        <v>12.6</v>
      </c>
      <c r="AT17" s="17">
        <f t="shared" si="13"/>
        <v>26.415094339622641</v>
      </c>
    </row>
    <row r="18" spans="1:46" x14ac:dyDescent="0.2">
      <c r="A18" s="9" t="s">
        <v>42</v>
      </c>
      <c r="B18" s="10">
        <v>8.6</v>
      </c>
      <c r="C18" s="35">
        <f t="shared" si="30"/>
        <v>18.029350104821802</v>
      </c>
      <c r="D18" s="10"/>
      <c r="E18" s="35" t="str">
        <f t="shared" si="31"/>
        <v/>
      </c>
      <c r="F18" s="10">
        <v>6.9</v>
      </c>
      <c r="G18" s="35">
        <f t="shared" si="32"/>
        <v>18.302387267904511</v>
      </c>
      <c r="H18" s="10"/>
      <c r="I18" s="35" t="str">
        <f t="shared" si="33"/>
        <v/>
      </c>
      <c r="J18" s="10">
        <v>6.8</v>
      </c>
      <c r="K18" s="35">
        <f t="shared" si="34"/>
        <v>14.945054945054945</v>
      </c>
      <c r="L18" s="10"/>
      <c r="M18" s="35" t="str">
        <f t="shared" si="35"/>
        <v/>
      </c>
      <c r="N18" s="10"/>
      <c r="O18" s="35" t="str">
        <f t="shared" si="36"/>
        <v/>
      </c>
      <c r="P18" s="10"/>
      <c r="Q18" s="35" t="str">
        <f t="shared" si="37"/>
        <v/>
      </c>
      <c r="R18" s="10"/>
      <c r="S18" s="35" t="str">
        <f t="shared" si="38"/>
        <v/>
      </c>
      <c r="T18" s="10"/>
      <c r="U18" s="35" t="str">
        <f t="shared" si="39"/>
        <v/>
      </c>
      <c r="V18" s="10"/>
      <c r="W18" s="35" t="str">
        <f t="shared" si="40"/>
        <v/>
      </c>
      <c r="X18" s="10"/>
      <c r="Y18" s="35" t="str">
        <f t="shared" si="41"/>
        <v/>
      </c>
      <c r="Z18" s="10"/>
      <c r="AA18" s="35" t="str">
        <f t="shared" si="42"/>
        <v/>
      </c>
      <c r="AB18" s="10"/>
      <c r="AC18" s="35" t="str">
        <f t="shared" si="43"/>
        <v/>
      </c>
      <c r="AD18" s="10"/>
      <c r="AE18" s="35" t="str">
        <f t="shared" si="44"/>
        <v/>
      </c>
      <c r="AG18" s="11" t="str">
        <f t="shared" si="0"/>
        <v xml:space="preserve">     External secondary branch</v>
      </c>
      <c r="AH18" s="12">
        <f t="shared" si="9"/>
        <v>3</v>
      </c>
      <c r="AI18" s="13">
        <f t="shared" si="1"/>
        <v>6.8</v>
      </c>
      <c r="AJ18" s="14" t="str">
        <f t="shared" si="2"/>
        <v>–</v>
      </c>
      <c r="AK18" s="15">
        <f t="shared" si="3"/>
        <v>8.6</v>
      </c>
      <c r="AL18" s="16">
        <f t="shared" si="4"/>
        <v>14.945054945054945</v>
      </c>
      <c r="AM18" s="17" t="str">
        <f t="shared" si="10"/>
        <v>–</v>
      </c>
      <c r="AN18" s="18">
        <f t="shared" si="5"/>
        <v>18.302387267904511</v>
      </c>
      <c r="AO18" s="87">
        <f t="shared" si="6"/>
        <v>7.4333333333333336</v>
      </c>
      <c r="AP18" s="19">
        <f t="shared" si="11"/>
        <v>17.092264105927086</v>
      </c>
      <c r="AQ18" s="14">
        <f t="shared" si="7"/>
        <v>1.0115993936995644</v>
      </c>
      <c r="AR18" s="20">
        <f t="shared" si="12"/>
        <v>1.8645422249190271</v>
      </c>
      <c r="AS18" s="14">
        <f t="shared" si="8"/>
        <v>8.6</v>
      </c>
      <c r="AT18" s="17">
        <f t="shared" si="13"/>
        <v>18.029350104821802</v>
      </c>
    </row>
    <row r="19" spans="1:46" x14ac:dyDescent="0.2">
      <c r="A19" s="9" t="s">
        <v>43</v>
      </c>
      <c r="B19" s="10">
        <v>10.9</v>
      </c>
      <c r="C19" s="35">
        <f t="shared" si="30"/>
        <v>22.851153039832283</v>
      </c>
      <c r="D19" s="10">
        <v>8.4</v>
      </c>
      <c r="E19" s="35">
        <f t="shared" si="31"/>
        <v>21.932114882506529</v>
      </c>
      <c r="F19" s="10">
        <v>8</v>
      </c>
      <c r="G19" s="35">
        <f t="shared" si="32"/>
        <v>21.220159151193631</v>
      </c>
      <c r="H19" s="10"/>
      <c r="I19" s="35" t="str">
        <f t="shared" si="33"/>
        <v/>
      </c>
      <c r="J19" s="10">
        <v>10.7</v>
      </c>
      <c r="K19" s="35">
        <f t="shared" si="34"/>
        <v>23.516483516483515</v>
      </c>
      <c r="L19" s="10">
        <v>10.3</v>
      </c>
      <c r="M19" s="35">
        <f t="shared" si="35"/>
        <v>23.40909090909091</v>
      </c>
      <c r="N19" s="10">
        <v>8.3000000000000007</v>
      </c>
      <c r="O19" s="35">
        <f t="shared" si="36"/>
        <v>23.446327683615824</v>
      </c>
      <c r="P19" s="10">
        <v>6</v>
      </c>
      <c r="Q19" s="35">
        <f t="shared" si="37"/>
        <v>24</v>
      </c>
      <c r="R19" s="10"/>
      <c r="S19" s="35" t="str">
        <f t="shared" si="38"/>
        <v/>
      </c>
      <c r="T19" s="10"/>
      <c r="U19" s="35" t="str">
        <f t="shared" si="39"/>
        <v/>
      </c>
      <c r="V19" s="10"/>
      <c r="W19" s="35" t="str">
        <f t="shared" si="40"/>
        <v/>
      </c>
      <c r="X19" s="10"/>
      <c r="Y19" s="35" t="str">
        <f t="shared" si="41"/>
        <v/>
      </c>
      <c r="Z19" s="10"/>
      <c r="AA19" s="35" t="str">
        <f t="shared" si="42"/>
        <v/>
      </c>
      <c r="AB19" s="10"/>
      <c r="AC19" s="35" t="str">
        <f t="shared" si="43"/>
        <v/>
      </c>
      <c r="AD19" s="10"/>
      <c r="AE19" s="35" t="str">
        <f t="shared" si="44"/>
        <v/>
      </c>
      <c r="AG19" s="11" t="str">
        <f t="shared" si="0"/>
        <v xml:space="preserve">     Internal primary branch</v>
      </c>
      <c r="AH19" s="12">
        <f t="shared" si="9"/>
        <v>7</v>
      </c>
      <c r="AI19" s="13">
        <f t="shared" si="1"/>
        <v>6</v>
      </c>
      <c r="AJ19" s="14" t="str">
        <f t="shared" si="2"/>
        <v>–</v>
      </c>
      <c r="AK19" s="15">
        <f t="shared" si="3"/>
        <v>10.9</v>
      </c>
      <c r="AL19" s="16">
        <f t="shared" si="4"/>
        <v>21.220159151193631</v>
      </c>
      <c r="AM19" s="17" t="str">
        <f t="shared" si="10"/>
        <v>–</v>
      </c>
      <c r="AN19" s="18">
        <f t="shared" si="5"/>
        <v>24</v>
      </c>
      <c r="AO19" s="87">
        <f t="shared" si="6"/>
        <v>8.9428571428571413</v>
      </c>
      <c r="AP19" s="19">
        <f t="shared" si="11"/>
        <v>22.910761311817527</v>
      </c>
      <c r="AQ19" s="14">
        <f t="shared" si="7"/>
        <v>1.7803156488454031</v>
      </c>
      <c r="AR19" s="20">
        <f t="shared" si="12"/>
        <v>0.99229881927246455</v>
      </c>
      <c r="AS19" s="14">
        <f t="shared" si="8"/>
        <v>10.9</v>
      </c>
      <c r="AT19" s="17">
        <f t="shared" si="13"/>
        <v>22.851153039832283</v>
      </c>
    </row>
    <row r="20" spans="1:46" x14ac:dyDescent="0.2">
      <c r="A20" s="9" t="s">
        <v>44</v>
      </c>
      <c r="B20" s="10">
        <v>7</v>
      </c>
      <c r="C20" s="35">
        <f t="shared" si="30"/>
        <v>14.675052410901468</v>
      </c>
      <c r="D20" s="10"/>
      <c r="E20" s="35" t="str">
        <f t="shared" si="31"/>
        <v/>
      </c>
      <c r="F20" s="10">
        <v>7.4</v>
      </c>
      <c r="G20" s="35">
        <f t="shared" si="32"/>
        <v>19.628647214854112</v>
      </c>
      <c r="H20" s="10"/>
      <c r="I20" s="35" t="str">
        <f t="shared" si="33"/>
        <v/>
      </c>
      <c r="J20" s="10">
        <v>7.6</v>
      </c>
      <c r="K20" s="35">
        <f t="shared" si="34"/>
        <v>16.703296703296701</v>
      </c>
      <c r="L20" s="10"/>
      <c r="M20" s="35" t="str">
        <f t="shared" si="35"/>
        <v/>
      </c>
      <c r="N20" s="10"/>
      <c r="O20" s="35" t="str">
        <f t="shared" si="36"/>
        <v/>
      </c>
      <c r="P20" s="10">
        <v>4.4000000000000004</v>
      </c>
      <c r="Q20" s="35">
        <f t="shared" si="37"/>
        <v>17.600000000000001</v>
      </c>
      <c r="R20" s="10"/>
      <c r="S20" s="35" t="str">
        <f t="shared" si="38"/>
        <v/>
      </c>
      <c r="T20" s="10"/>
      <c r="U20" s="35" t="str">
        <f t="shared" si="39"/>
        <v/>
      </c>
      <c r="V20" s="10"/>
      <c r="W20" s="35" t="str">
        <f t="shared" si="40"/>
        <v/>
      </c>
      <c r="X20" s="10"/>
      <c r="Y20" s="35" t="str">
        <f t="shared" si="41"/>
        <v/>
      </c>
      <c r="Z20" s="10"/>
      <c r="AA20" s="35" t="str">
        <f t="shared" si="42"/>
        <v/>
      </c>
      <c r="AB20" s="10"/>
      <c r="AC20" s="35" t="str">
        <f t="shared" si="43"/>
        <v/>
      </c>
      <c r="AD20" s="10"/>
      <c r="AE20" s="35" t="str">
        <f t="shared" si="44"/>
        <v/>
      </c>
      <c r="AG20" s="11" t="str">
        <f t="shared" si="0"/>
        <v xml:space="preserve">     Internal secondary branch</v>
      </c>
      <c r="AH20" s="12">
        <f t="shared" si="9"/>
        <v>4</v>
      </c>
      <c r="AI20" s="13">
        <f t="shared" si="1"/>
        <v>4.4000000000000004</v>
      </c>
      <c r="AJ20" s="14" t="str">
        <f t="shared" si="2"/>
        <v>–</v>
      </c>
      <c r="AK20" s="15">
        <f t="shared" si="3"/>
        <v>7.6</v>
      </c>
      <c r="AL20" s="16">
        <f t="shared" si="4"/>
        <v>14.675052410901468</v>
      </c>
      <c r="AM20" s="17" t="str">
        <f t="shared" si="10"/>
        <v>–</v>
      </c>
      <c r="AN20" s="18">
        <f t="shared" si="5"/>
        <v>19.628647214854112</v>
      </c>
      <c r="AO20" s="87">
        <f t="shared" si="6"/>
        <v>6.6</v>
      </c>
      <c r="AP20" s="19">
        <f t="shared" si="11"/>
        <v>17.151749082263073</v>
      </c>
      <c r="AQ20" s="14">
        <f t="shared" si="7"/>
        <v>1.4877275736280979</v>
      </c>
      <c r="AR20" s="20">
        <f t="shared" si="12"/>
        <v>2.0551633497623123</v>
      </c>
      <c r="AS20" s="14">
        <f t="shared" si="8"/>
        <v>7</v>
      </c>
      <c r="AT20" s="17">
        <f t="shared" si="13"/>
        <v>14.675052410901468</v>
      </c>
    </row>
    <row r="21" spans="1:46" x14ac:dyDescent="0.2">
      <c r="A21" s="61" t="s">
        <v>45</v>
      </c>
      <c r="B21" s="63"/>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141"/>
      <c r="AG21" s="11" t="str">
        <f>A21</f>
        <v>Claw 2 lengths</v>
      </c>
      <c r="AH21" s="12"/>
      <c r="AI21" s="13"/>
      <c r="AJ21" s="14"/>
      <c r="AK21" s="15"/>
      <c r="AL21" s="16"/>
      <c r="AM21" s="17"/>
      <c r="AN21" s="18"/>
      <c r="AO21" s="87"/>
      <c r="AP21" s="19"/>
      <c r="AQ21" s="14"/>
      <c r="AR21" s="20"/>
      <c r="AS21" s="14"/>
      <c r="AT21" s="17"/>
    </row>
    <row r="22" spans="1:46" x14ac:dyDescent="0.2">
      <c r="A22" s="9" t="s">
        <v>41</v>
      </c>
      <c r="B22" s="10">
        <v>12.5</v>
      </c>
      <c r="C22" s="35">
        <f t="shared" ref="C22:C25" si="45">IF(AND((B22&gt;0),(B$5&gt;0)),(B22/B$5*100),"")</f>
        <v>26.205450733752617</v>
      </c>
      <c r="D22" s="10">
        <v>9</v>
      </c>
      <c r="E22" s="35">
        <f t="shared" ref="E22:E25" si="46">IF(AND((D22&gt;0),(D$5&gt;0)),(D22/D$5*100),"")</f>
        <v>23.49869451697128</v>
      </c>
      <c r="F22" s="10"/>
      <c r="G22" s="35" t="str">
        <f t="shared" ref="G22:G25" si="47">IF(AND((F22&gt;0),(F$5&gt;0)),(F22/F$5*100),"")</f>
        <v/>
      </c>
      <c r="H22" s="10"/>
      <c r="I22" s="35" t="str">
        <f t="shared" ref="I22:I25" si="48">IF(AND((H22&gt;0),(H$5&gt;0)),(H22/H$5*100),"")</f>
        <v/>
      </c>
      <c r="J22" s="10"/>
      <c r="K22" s="35" t="str">
        <f t="shared" ref="K22:K25" si="49">IF(AND((J22&gt;0),(J$5&gt;0)),(J22/J$5*100),"")</f>
        <v/>
      </c>
      <c r="L22" s="10"/>
      <c r="M22" s="35" t="str">
        <f t="shared" ref="M22:M25" si="50">IF(AND((L22&gt;0),(L$5&gt;0)),(L22/L$5*100),"")</f>
        <v/>
      </c>
      <c r="N22" s="10"/>
      <c r="O22" s="35" t="str">
        <f t="shared" ref="O22:O25" si="51">IF(AND((N22&gt;0),(N$5&gt;0)),(N22/N$5*100),"")</f>
        <v/>
      </c>
      <c r="P22" s="10">
        <v>6.3</v>
      </c>
      <c r="Q22" s="35">
        <f t="shared" ref="Q22:Q25" si="52">IF(AND((P22&gt;0),(P$5&gt;0)),(P22/P$5*100),"")</f>
        <v>25.2</v>
      </c>
      <c r="R22" s="10"/>
      <c r="S22" s="35" t="str">
        <f t="shared" ref="S22:S25" si="53">IF(AND((R22&gt;0),(R$5&gt;0)),(R22/R$5*100),"")</f>
        <v/>
      </c>
      <c r="T22" s="10"/>
      <c r="U22" s="35" t="str">
        <f t="shared" ref="U22:U25" si="54">IF(AND((T22&gt;0),(T$5&gt;0)),(T22/T$5*100),"")</f>
        <v/>
      </c>
      <c r="V22" s="10"/>
      <c r="W22" s="35" t="str">
        <f t="shared" ref="W22:W25" si="55">IF(AND((V22&gt;0),(V$5&gt;0)),(V22/V$5*100),"")</f>
        <v/>
      </c>
      <c r="X22" s="10"/>
      <c r="Y22" s="35" t="str">
        <f t="shared" ref="Y22:Y25" si="56">IF(AND((X22&gt;0),(X$5&gt;0)),(X22/X$5*100),"")</f>
        <v/>
      </c>
      <c r="Z22" s="10"/>
      <c r="AA22" s="35" t="str">
        <f t="shared" ref="AA22:AA25" si="57">IF(AND((Z22&gt;0),(Z$5&gt;0)),(Z22/Z$5*100),"")</f>
        <v/>
      </c>
      <c r="AB22" s="10"/>
      <c r="AC22" s="35" t="str">
        <f t="shared" ref="AC22:AC25" si="58">IF(AND((AB22&gt;0),(AB$5&gt;0)),(AB22/AB$5*100),"")</f>
        <v/>
      </c>
      <c r="AD22" s="10"/>
      <c r="AE22" s="35" t="str">
        <f t="shared" ref="AE22:AE25" si="59">IF(AND((AD22&gt;0),(AD$5&gt;0)),(AD22/AD$5*100),"")</f>
        <v/>
      </c>
      <c r="AG22" s="11" t="str">
        <f t="shared" si="0"/>
        <v xml:space="preserve">     External primary branch</v>
      </c>
      <c r="AH22" s="12">
        <f t="shared" si="9"/>
        <v>3</v>
      </c>
      <c r="AI22" s="13">
        <f t="shared" si="1"/>
        <v>6.3</v>
      </c>
      <c r="AJ22" s="14" t="str">
        <f t="shared" si="2"/>
        <v>–</v>
      </c>
      <c r="AK22" s="15">
        <f t="shared" si="3"/>
        <v>12.5</v>
      </c>
      <c r="AL22" s="16">
        <f t="shared" si="4"/>
        <v>23.49869451697128</v>
      </c>
      <c r="AM22" s="17" t="str">
        <f t="shared" si="10"/>
        <v>–</v>
      </c>
      <c r="AN22" s="18">
        <f t="shared" si="5"/>
        <v>26.205450733752617</v>
      </c>
      <c r="AO22" s="87">
        <f t="shared" si="6"/>
        <v>9.2666666666666675</v>
      </c>
      <c r="AP22" s="19">
        <f t="shared" si="11"/>
        <v>24.968048416907966</v>
      </c>
      <c r="AQ22" s="14">
        <f t="shared" si="7"/>
        <v>3.1085902485424688</v>
      </c>
      <c r="AR22" s="20">
        <f t="shared" si="12"/>
        <v>1.3682044645977729</v>
      </c>
      <c r="AS22" s="14">
        <f t="shared" si="8"/>
        <v>12.5</v>
      </c>
      <c r="AT22" s="17">
        <f t="shared" si="13"/>
        <v>26.205450733752617</v>
      </c>
    </row>
    <row r="23" spans="1:46" x14ac:dyDescent="0.2">
      <c r="A23" s="9" t="s">
        <v>42</v>
      </c>
      <c r="B23" s="10"/>
      <c r="C23" s="35" t="str">
        <f t="shared" si="45"/>
        <v/>
      </c>
      <c r="D23" s="10"/>
      <c r="E23" s="35" t="str">
        <f t="shared" si="46"/>
        <v/>
      </c>
      <c r="F23" s="10"/>
      <c r="G23" s="35" t="str">
        <f t="shared" si="47"/>
        <v/>
      </c>
      <c r="H23" s="10"/>
      <c r="I23" s="35" t="str">
        <f t="shared" si="48"/>
        <v/>
      </c>
      <c r="J23" s="10"/>
      <c r="K23" s="35" t="str">
        <f t="shared" si="49"/>
        <v/>
      </c>
      <c r="L23" s="10"/>
      <c r="M23" s="35" t="str">
        <f t="shared" si="50"/>
        <v/>
      </c>
      <c r="N23" s="10"/>
      <c r="O23" s="35" t="str">
        <f t="shared" si="51"/>
        <v/>
      </c>
      <c r="P23" s="10"/>
      <c r="Q23" s="35" t="str">
        <f t="shared" si="52"/>
        <v/>
      </c>
      <c r="R23" s="10"/>
      <c r="S23" s="35" t="str">
        <f t="shared" si="53"/>
        <v/>
      </c>
      <c r="T23" s="10"/>
      <c r="U23" s="35" t="str">
        <f t="shared" si="54"/>
        <v/>
      </c>
      <c r="V23" s="10"/>
      <c r="W23" s="35" t="str">
        <f t="shared" si="55"/>
        <v/>
      </c>
      <c r="X23" s="10"/>
      <c r="Y23" s="35" t="str">
        <f t="shared" si="56"/>
        <v/>
      </c>
      <c r="Z23" s="10"/>
      <c r="AA23" s="35" t="str">
        <f t="shared" si="57"/>
        <v/>
      </c>
      <c r="AB23" s="10"/>
      <c r="AC23" s="35" t="str">
        <f t="shared" si="58"/>
        <v/>
      </c>
      <c r="AD23" s="10"/>
      <c r="AE23" s="35" t="str">
        <f t="shared" si="59"/>
        <v/>
      </c>
      <c r="AG23" s="11" t="str">
        <f t="shared" si="0"/>
        <v xml:space="preserve">     External secondary branch</v>
      </c>
      <c r="AH23" s="12">
        <f t="shared" si="9"/>
        <v>0</v>
      </c>
      <c r="AI23" s="13" t="str">
        <f t="shared" si="1"/>
        <v/>
      </c>
      <c r="AJ23" s="14" t="str">
        <f t="shared" si="2"/>
        <v>?</v>
      </c>
      <c r="AK23" s="15" t="str">
        <f t="shared" si="3"/>
        <v/>
      </c>
      <c r="AL23" s="16" t="str">
        <f t="shared" si="4"/>
        <v/>
      </c>
      <c r="AM23" s="17" t="str">
        <f t="shared" si="10"/>
        <v>?</v>
      </c>
      <c r="AN23" s="18" t="str">
        <f t="shared" si="5"/>
        <v/>
      </c>
      <c r="AO23" s="87" t="str">
        <f t="shared" si="6"/>
        <v>?</v>
      </c>
      <c r="AP23" s="19" t="str">
        <f t="shared" si="11"/>
        <v>?</v>
      </c>
      <c r="AQ23" s="14" t="str">
        <f t="shared" si="7"/>
        <v>?</v>
      </c>
      <c r="AR23" s="20" t="str">
        <f t="shared" si="12"/>
        <v>?</v>
      </c>
      <c r="AS23" s="14" t="str">
        <f t="shared" si="8"/>
        <v>?</v>
      </c>
      <c r="AT23" s="17" t="str">
        <f t="shared" si="13"/>
        <v>?</v>
      </c>
    </row>
    <row r="24" spans="1:46" x14ac:dyDescent="0.2">
      <c r="A24" s="9" t="s">
        <v>43</v>
      </c>
      <c r="B24" s="10">
        <v>11.5</v>
      </c>
      <c r="C24" s="35">
        <f t="shared" si="45"/>
        <v>24.109014675052411</v>
      </c>
      <c r="D24" s="10">
        <v>8</v>
      </c>
      <c r="E24" s="35">
        <f t="shared" si="46"/>
        <v>20.887728459530027</v>
      </c>
      <c r="F24" s="10">
        <v>8.3000000000000007</v>
      </c>
      <c r="G24" s="35">
        <f t="shared" si="47"/>
        <v>22.015915119363395</v>
      </c>
      <c r="H24" s="10"/>
      <c r="I24" s="35" t="str">
        <f t="shared" si="48"/>
        <v/>
      </c>
      <c r="J24" s="10"/>
      <c r="K24" s="35" t="str">
        <f t="shared" si="49"/>
        <v/>
      </c>
      <c r="L24" s="10"/>
      <c r="M24" s="35" t="str">
        <f t="shared" si="50"/>
        <v/>
      </c>
      <c r="N24" s="10"/>
      <c r="O24" s="35" t="str">
        <f t="shared" si="51"/>
        <v/>
      </c>
      <c r="P24" s="10">
        <v>6</v>
      </c>
      <c r="Q24" s="35">
        <f t="shared" si="52"/>
        <v>24</v>
      </c>
      <c r="R24" s="10"/>
      <c r="S24" s="35" t="str">
        <f t="shared" si="53"/>
        <v/>
      </c>
      <c r="T24" s="10"/>
      <c r="U24" s="35" t="str">
        <f t="shared" si="54"/>
        <v/>
      </c>
      <c r="V24" s="10"/>
      <c r="W24" s="35" t="str">
        <f t="shared" si="55"/>
        <v/>
      </c>
      <c r="X24" s="10"/>
      <c r="Y24" s="35" t="str">
        <f t="shared" si="56"/>
        <v/>
      </c>
      <c r="Z24" s="10"/>
      <c r="AA24" s="35" t="str">
        <f t="shared" si="57"/>
        <v/>
      </c>
      <c r="AB24" s="10"/>
      <c r="AC24" s="35" t="str">
        <f t="shared" si="58"/>
        <v/>
      </c>
      <c r="AD24" s="10"/>
      <c r="AE24" s="35" t="str">
        <f t="shared" si="59"/>
        <v/>
      </c>
      <c r="AG24" s="11" t="str">
        <f t="shared" si="0"/>
        <v xml:space="preserve">     Internal primary branch</v>
      </c>
      <c r="AH24" s="12">
        <f t="shared" si="9"/>
        <v>4</v>
      </c>
      <c r="AI24" s="13">
        <f t="shared" si="1"/>
        <v>6</v>
      </c>
      <c r="AJ24" s="14" t="str">
        <f t="shared" si="2"/>
        <v>–</v>
      </c>
      <c r="AK24" s="15">
        <f t="shared" si="3"/>
        <v>11.5</v>
      </c>
      <c r="AL24" s="16">
        <f t="shared" si="4"/>
        <v>20.887728459530027</v>
      </c>
      <c r="AM24" s="17" t="str">
        <f t="shared" si="10"/>
        <v>–</v>
      </c>
      <c r="AN24" s="18">
        <f t="shared" si="5"/>
        <v>24.109014675052411</v>
      </c>
      <c r="AO24" s="87">
        <f t="shared" si="6"/>
        <v>8.4499999999999993</v>
      </c>
      <c r="AP24" s="19">
        <f t="shared" si="11"/>
        <v>22.753164563486457</v>
      </c>
      <c r="AQ24" s="14">
        <f t="shared" si="7"/>
        <v>2.2752289262108718</v>
      </c>
      <c r="AR24" s="20">
        <f t="shared" si="12"/>
        <v>1.5722930951938989</v>
      </c>
      <c r="AS24" s="14">
        <f t="shared" si="8"/>
        <v>11.5</v>
      </c>
      <c r="AT24" s="17">
        <f t="shared" si="13"/>
        <v>24.109014675052411</v>
      </c>
    </row>
    <row r="25" spans="1:46" x14ac:dyDescent="0.2">
      <c r="A25" s="9" t="s">
        <v>44</v>
      </c>
      <c r="B25" s="10"/>
      <c r="C25" s="35" t="str">
        <f t="shared" si="45"/>
        <v/>
      </c>
      <c r="D25" s="10"/>
      <c r="E25" s="35" t="str">
        <f t="shared" si="46"/>
        <v/>
      </c>
      <c r="F25" s="10">
        <v>6.7</v>
      </c>
      <c r="G25" s="35">
        <f t="shared" si="47"/>
        <v>17.771883289124666</v>
      </c>
      <c r="H25" s="10"/>
      <c r="I25" s="35" t="str">
        <f t="shared" si="48"/>
        <v/>
      </c>
      <c r="J25" s="10"/>
      <c r="K25" s="35" t="str">
        <f t="shared" si="49"/>
        <v/>
      </c>
      <c r="L25" s="10"/>
      <c r="M25" s="35" t="str">
        <f t="shared" si="50"/>
        <v/>
      </c>
      <c r="N25" s="10"/>
      <c r="O25" s="35" t="str">
        <f t="shared" si="51"/>
        <v/>
      </c>
      <c r="P25" s="10"/>
      <c r="Q25" s="35" t="str">
        <f t="shared" si="52"/>
        <v/>
      </c>
      <c r="R25" s="10"/>
      <c r="S25" s="35" t="str">
        <f t="shared" si="53"/>
        <v/>
      </c>
      <c r="T25" s="10"/>
      <c r="U25" s="35" t="str">
        <f t="shared" si="54"/>
        <v/>
      </c>
      <c r="V25" s="10"/>
      <c r="W25" s="35" t="str">
        <f t="shared" si="55"/>
        <v/>
      </c>
      <c r="X25" s="10"/>
      <c r="Y25" s="35" t="str">
        <f t="shared" si="56"/>
        <v/>
      </c>
      <c r="Z25" s="10"/>
      <c r="AA25" s="35" t="str">
        <f t="shared" si="57"/>
        <v/>
      </c>
      <c r="AB25" s="10"/>
      <c r="AC25" s="35" t="str">
        <f t="shared" si="58"/>
        <v/>
      </c>
      <c r="AD25" s="10"/>
      <c r="AE25" s="35" t="str">
        <f t="shared" si="59"/>
        <v/>
      </c>
      <c r="AG25" s="11" t="str">
        <f t="shared" si="0"/>
        <v xml:space="preserve">     Internal secondary branch</v>
      </c>
      <c r="AH25" s="12">
        <f t="shared" si="9"/>
        <v>1</v>
      </c>
      <c r="AI25" s="13">
        <f t="shared" si="1"/>
        <v>6.7</v>
      </c>
      <c r="AJ25" s="14" t="str">
        <f t="shared" si="2"/>
        <v>–</v>
      </c>
      <c r="AK25" s="15">
        <f t="shared" si="3"/>
        <v>6.7</v>
      </c>
      <c r="AL25" s="16">
        <f t="shared" si="4"/>
        <v>17.771883289124666</v>
      </c>
      <c r="AM25" s="17" t="str">
        <f t="shared" si="10"/>
        <v>–</v>
      </c>
      <c r="AN25" s="18">
        <f t="shared" si="5"/>
        <v>17.771883289124666</v>
      </c>
      <c r="AO25" s="87">
        <f t="shared" si="6"/>
        <v>6.7</v>
      </c>
      <c r="AP25" s="19">
        <f t="shared" si="11"/>
        <v>17.771883289124666</v>
      </c>
      <c r="AQ25" s="14" t="str">
        <f t="shared" si="7"/>
        <v>?</v>
      </c>
      <c r="AR25" s="20" t="str">
        <f t="shared" si="12"/>
        <v>?</v>
      </c>
      <c r="AS25" s="14" t="str">
        <f t="shared" si="8"/>
        <v>?</v>
      </c>
      <c r="AT25" s="17" t="str">
        <f t="shared" si="13"/>
        <v>?</v>
      </c>
    </row>
    <row r="26" spans="1:46" x14ac:dyDescent="0.2">
      <c r="A26" s="61" t="s">
        <v>46</v>
      </c>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141"/>
      <c r="AG26" s="11" t="str">
        <f t="shared" si="0"/>
        <v>Claw 3 lengths</v>
      </c>
      <c r="AH26" s="12"/>
      <c r="AI26" s="13"/>
      <c r="AJ26" s="14"/>
      <c r="AK26" s="15"/>
      <c r="AL26" s="16"/>
      <c r="AM26" s="17"/>
      <c r="AN26" s="18"/>
      <c r="AO26" s="87"/>
      <c r="AP26" s="19"/>
      <c r="AQ26" s="14"/>
      <c r="AR26" s="20"/>
      <c r="AS26" s="14"/>
      <c r="AT26" s="17"/>
    </row>
    <row r="27" spans="1:46" x14ac:dyDescent="0.2">
      <c r="A27" s="9" t="s">
        <v>41</v>
      </c>
      <c r="B27" s="10">
        <v>13</v>
      </c>
      <c r="C27" s="35">
        <f t="shared" ref="C27:C30" si="60">IF(AND((B27&gt;0),(B$5&gt;0)),(B27/B$5*100),"")</f>
        <v>27.253668763102723</v>
      </c>
      <c r="D27" s="10">
        <v>9.3000000000000007</v>
      </c>
      <c r="E27" s="35">
        <f t="shared" ref="E27:E30" si="61">IF(AND((D27&gt;0),(D$5&gt;0)),(D27/D$5*100),"")</f>
        <v>24.28198433420366</v>
      </c>
      <c r="F27" s="10">
        <v>9.1</v>
      </c>
      <c r="G27" s="35">
        <f t="shared" ref="G27:G30" si="62">IF(AND((F27&gt;0),(F$5&gt;0)),(F27/F$5*100),"")</f>
        <v>24.137931034482758</v>
      </c>
      <c r="H27" s="10">
        <v>8.1999999999999993</v>
      </c>
      <c r="I27" s="35">
        <f t="shared" ref="I27:I30" si="63">IF(AND((H27&gt;0),(H$5&gt;0)),(H27/H$5*100),"")</f>
        <v>25.786163522012579</v>
      </c>
      <c r="J27" s="10">
        <v>11.8</v>
      </c>
      <c r="K27" s="35">
        <f t="shared" ref="K27:K30" si="64">IF(AND((J27&gt;0),(J$5&gt;0)),(J27/J$5*100),"")</f>
        <v>25.934065934065938</v>
      </c>
      <c r="L27" s="10">
        <v>11.3</v>
      </c>
      <c r="M27" s="35">
        <f t="shared" ref="M27:M30" si="65">IF(AND((L27&gt;0),(L$5&gt;0)),(L27/L$5*100),"")</f>
        <v>25.681818181818183</v>
      </c>
      <c r="N27" s="10">
        <v>8.9</v>
      </c>
      <c r="O27" s="35">
        <f t="shared" ref="O27:O30" si="66">IF(AND((N27&gt;0),(N$5&gt;0)),(N27/N$5*100),"")</f>
        <v>25.141242937853107</v>
      </c>
      <c r="P27" s="10">
        <v>6.7</v>
      </c>
      <c r="Q27" s="35">
        <f t="shared" ref="Q27:Q30" si="67">IF(AND((P27&gt;0),(P$5&gt;0)),(P27/P$5*100),"")</f>
        <v>26.8</v>
      </c>
      <c r="R27" s="10"/>
      <c r="S27" s="35" t="str">
        <f t="shared" ref="S27:S30" si="68">IF(AND((R27&gt;0),(R$5&gt;0)),(R27/R$5*100),"")</f>
        <v/>
      </c>
      <c r="T27" s="10"/>
      <c r="U27" s="35" t="str">
        <f t="shared" ref="U27:U30" si="69">IF(AND((T27&gt;0),(T$5&gt;0)),(T27/T$5*100),"")</f>
        <v/>
      </c>
      <c r="V27" s="10"/>
      <c r="W27" s="35" t="str">
        <f t="shared" ref="W27:W30" si="70">IF(AND((V27&gt;0),(V$5&gt;0)),(V27/V$5*100),"")</f>
        <v/>
      </c>
      <c r="X27" s="10"/>
      <c r="Y27" s="35" t="str">
        <f t="shared" ref="Y27:Y30" si="71">IF(AND((X27&gt;0),(X$5&gt;0)),(X27/X$5*100),"")</f>
        <v/>
      </c>
      <c r="Z27" s="10"/>
      <c r="AA27" s="35" t="str">
        <f t="shared" ref="AA27:AA30" si="72">IF(AND((Z27&gt;0),(Z$5&gt;0)),(Z27/Z$5*100),"")</f>
        <v/>
      </c>
      <c r="AB27" s="10"/>
      <c r="AC27" s="35" t="str">
        <f t="shared" ref="AC27:AC30" si="73">IF(AND((AB27&gt;0),(AB$5&gt;0)),(AB27/AB$5*100),"")</f>
        <v/>
      </c>
      <c r="AD27" s="10"/>
      <c r="AE27" s="35" t="str">
        <f t="shared" ref="AE27:AE30" si="74">IF(AND((AD27&gt;0),(AD$5&gt;0)),(AD27/AD$5*100),"")</f>
        <v/>
      </c>
      <c r="AG27" s="11" t="str">
        <f t="shared" si="0"/>
        <v xml:space="preserve">     External primary branch</v>
      </c>
      <c r="AH27" s="12">
        <f t="shared" si="9"/>
        <v>8</v>
      </c>
      <c r="AI27" s="13">
        <f t="shared" si="1"/>
        <v>6.7</v>
      </c>
      <c r="AJ27" s="14" t="str">
        <f t="shared" si="2"/>
        <v>–</v>
      </c>
      <c r="AK27" s="15">
        <f t="shared" si="3"/>
        <v>13</v>
      </c>
      <c r="AL27" s="16">
        <f t="shared" si="4"/>
        <v>24.137931034482758</v>
      </c>
      <c r="AM27" s="17" t="str">
        <f t="shared" si="10"/>
        <v>–</v>
      </c>
      <c r="AN27" s="18">
        <f t="shared" si="5"/>
        <v>27.253668763102723</v>
      </c>
      <c r="AO27" s="87">
        <f t="shared" si="6"/>
        <v>9.7874999999999996</v>
      </c>
      <c r="AP27" s="19">
        <f t="shared" si="11"/>
        <v>25.627109338442366</v>
      </c>
      <c r="AQ27" s="14">
        <f t="shared" si="7"/>
        <v>2.0773867512540201</v>
      </c>
      <c r="AR27" s="20">
        <f t="shared" si="12"/>
        <v>1.0958989242760493</v>
      </c>
      <c r="AS27" s="14">
        <f t="shared" si="8"/>
        <v>13</v>
      </c>
      <c r="AT27" s="17">
        <f t="shared" si="13"/>
        <v>27.253668763102723</v>
      </c>
    </row>
    <row r="28" spans="1:46" x14ac:dyDescent="0.2">
      <c r="A28" s="9" t="s">
        <v>42</v>
      </c>
      <c r="B28" s="10"/>
      <c r="C28" s="35" t="str">
        <f t="shared" si="60"/>
        <v/>
      </c>
      <c r="D28" s="10"/>
      <c r="E28" s="35" t="str">
        <f t="shared" si="61"/>
        <v/>
      </c>
      <c r="F28" s="10">
        <v>7.3</v>
      </c>
      <c r="G28" s="35">
        <f t="shared" si="62"/>
        <v>19.363395225464188</v>
      </c>
      <c r="H28" s="10">
        <v>6.7</v>
      </c>
      <c r="I28" s="35">
        <f t="shared" si="63"/>
        <v>21.069182389937108</v>
      </c>
      <c r="J28" s="10">
        <v>7.8</v>
      </c>
      <c r="K28" s="35">
        <f t="shared" si="64"/>
        <v>17.142857142857142</v>
      </c>
      <c r="L28" s="10"/>
      <c r="M28" s="35" t="str">
        <f t="shared" si="65"/>
        <v/>
      </c>
      <c r="N28" s="10"/>
      <c r="O28" s="35" t="str">
        <f t="shared" si="66"/>
        <v/>
      </c>
      <c r="P28" s="10"/>
      <c r="Q28" s="35" t="str">
        <f t="shared" si="67"/>
        <v/>
      </c>
      <c r="R28" s="10"/>
      <c r="S28" s="35" t="str">
        <f t="shared" si="68"/>
        <v/>
      </c>
      <c r="T28" s="10"/>
      <c r="U28" s="35" t="str">
        <f t="shared" si="69"/>
        <v/>
      </c>
      <c r="V28" s="10"/>
      <c r="W28" s="35" t="str">
        <f t="shared" si="70"/>
        <v/>
      </c>
      <c r="X28" s="10"/>
      <c r="Y28" s="35" t="str">
        <f t="shared" si="71"/>
        <v/>
      </c>
      <c r="Z28" s="10"/>
      <c r="AA28" s="35" t="str">
        <f t="shared" si="72"/>
        <v/>
      </c>
      <c r="AB28" s="10"/>
      <c r="AC28" s="35" t="str">
        <f t="shared" si="73"/>
        <v/>
      </c>
      <c r="AD28" s="10"/>
      <c r="AE28" s="35" t="str">
        <f t="shared" si="74"/>
        <v/>
      </c>
      <c r="AG28" s="11" t="str">
        <f t="shared" si="0"/>
        <v xml:space="preserve">     External secondary branch</v>
      </c>
      <c r="AH28" s="12">
        <f t="shared" si="9"/>
        <v>3</v>
      </c>
      <c r="AI28" s="13">
        <f t="shared" si="1"/>
        <v>6.7</v>
      </c>
      <c r="AJ28" s="14" t="str">
        <f t="shared" si="2"/>
        <v>–</v>
      </c>
      <c r="AK28" s="15">
        <f t="shared" si="3"/>
        <v>7.8</v>
      </c>
      <c r="AL28" s="16">
        <f t="shared" si="4"/>
        <v>17.142857142857142</v>
      </c>
      <c r="AM28" s="17" t="str">
        <f t="shared" si="10"/>
        <v>–</v>
      </c>
      <c r="AN28" s="18">
        <f t="shared" si="5"/>
        <v>21.069182389937108</v>
      </c>
      <c r="AO28" s="87">
        <f t="shared" si="6"/>
        <v>7.2666666666666666</v>
      </c>
      <c r="AP28" s="19">
        <f t="shared" si="11"/>
        <v>19.191811586086146</v>
      </c>
      <c r="AQ28" s="14">
        <f t="shared" si="7"/>
        <v>0.55075705472861003</v>
      </c>
      <c r="AR28" s="20">
        <f t="shared" si="12"/>
        <v>1.9687783510189889</v>
      </c>
      <c r="AS28" s="14" t="str">
        <f t="shared" si="8"/>
        <v>?</v>
      </c>
      <c r="AT28" s="17" t="str">
        <f t="shared" si="13"/>
        <v>?</v>
      </c>
    </row>
    <row r="29" spans="1:46" x14ac:dyDescent="0.2">
      <c r="A29" s="9" t="s">
        <v>43</v>
      </c>
      <c r="B29" s="10">
        <v>12</v>
      </c>
      <c r="C29" s="35">
        <f t="shared" si="60"/>
        <v>25.157232704402517</v>
      </c>
      <c r="D29" s="10">
        <v>9</v>
      </c>
      <c r="E29" s="35">
        <f t="shared" si="61"/>
        <v>23.49869451697128</v>
      </c>
      <c r="F29" s="10">
        <v>8.6</v>
      </c>
      <c r="G29" s="35">
        <f t="shared" si="62"/>
        <v>22.811671087533153</v>
      </c>
      <c r="H29" s="10">
        <v>7.7</v>
      </c>
      <c r="I29" s="35">
        <f t="shared" si="63"/>
        <v>24.213836477987421</v>
      </c>
      <c r="J29" s="10">
        <v>10.8</v>
      </c>
      <c r="K29" s="35">
        <f t="shared" si="64"/>
        <v>23.736263736263737</v>
      </c>
      <c r="L29" s="10">
        <v>10.3</v>
      </c>
      <c r="M29" s="35">
        <f t="shared" si="65"/>
        <v>23.40909090909091</v>
      </c>
      <c r="N29" s="10">
        <v>8.8000000000000007</v>
      </c>
      <c r="O29" s="35">
        <f t="shared" si="66"/>
        <v>24.858757062146896</v>
      </c>
      <c r="P29" s="10">
        <v>6.6</v>
      </c>
      <c r="Q29" s="35">
        <f t="shared" si="67"/>
        <v>26.400000000000002</v>
      </c>
      <c r="R29" s="10"/>
      <c r="S29" s="35" t="str">
        <f t="shared" si="68"/>
        <v/>
      </c>
      <c r="T29" s="10"/>
      <c r="U29" s="35" t="str">
        <f t="shared" si="69"/>
        <v/>
      </c>
      <c r="V29" s="10"/>
      <c r="W29" s="35" t="str">
        <f t="shared" si="70"/>
        <v/>
      </c>
      <c r="X29" s="10"/>
      <c r="Y29" s="35" t="str">
        <f t="shared" si="71"/>
        <v/>
      </c>
      <c r="Z29" s="10"/>
      <c r="AA29" s="35" t="str">
        <f t="shared" si="72"/>
        <v/>
      </c>
      <c r="AB29" s="10"/>
      <c r="AC29" s="35" t="str">
        <f t="shared" si="73"/>
        <v/>
      </c>
      <c r="AD29" s="10"/>
      <c r="AE29" s="35" t="str">
        <f t="shared" si="74"/>
        <v/>
      </c>
      <c r="AG29" s="11" t="str">
        <f t="shared" si="0"/>
        <v xml:space="preserve">     Internal primary branch</v>
      </c>
      <c r="AH29" s="12">
        <f t="shared" si="9"/>
        <v>8</v>
      </c>
      <c r="AI29" s="13">
        <f t="shared" si="1"/>
        <v>6.6</v>
      </c>
      <c r="AJ29" s="14" t="str">
        <f t="shared" si="2"/>
        <v>–</v>
      </c>
      <c r="AK29" s="15">
        <f t="shared" si="3"/>
        <v>12</v>
      </c>
      <c r="AL29" s="16">
        <f t="shared" si="4"/>
        <v>22.811671087533153</v>
      </c>
      <c r="AM29" s="17" t="str">
        <f t="shared" si="10"/>
        <v>–</v>
      </c>
      <c r="AN29" s="18">
        <f t="shared" si="5"/>
        <v>26.400000000000002</v>
      </c>
      <c r="AO29" s="87">
        <f t="shared" si="6"/>
        <v>9.2249999999999996</v>
      </c>
      <c r="AP29" s="19">
        <f t="shared" si="11"/>
        <v>24.260693311799493</v>
      </c>
      <c r="AQ29" s="14">
        <f t="shared" si="7"/>
        <v>1.7392527130926114</v>
      </c>
      <c r="AR29" s="20">
        <f t="shared" si="12"/>
        <v>1.1601017444761341</v>
      </c>
      <c r="AS29" s="14">
        <f t="shared" si="8"/>
        <v>12</v>
      </c>
      <c r="AT29" s="17">
        <f t="shared" si="13"/>
        <v>25.157232704402517</v>
      </c>
    </row>
    <row r="30" spans="1:46" x14ac:dyDescent="0.2">
      <c r="A30" s="9" t="s">
        <v>44</v>
      </c>
      <c r="B30" s="10"/>
      <c r="C30" s="35" t="str">
        <f t="shared" si="60"/>
        <v/>
      </c>
      <c r="D30" s="10"/>
      <c r="E30" s="35" t="str">
        <f t="shared" si="61"/>
        <v/>
      </c>
      <c r="F30" s="10">
        <v>6.5</v>
      </c>
      <c r="G30" s="35">
        <f t="shared" si="62"/>
        <v>17.241379310344826</v>
      </c>
      <c r="H30" s="10">
        <v>5.9</v>
      </c>
      <c r="I30" s="35">
        <f t="shared" si="63"/>
        <v>18.553459119496857</v>
      </c>
      <c r="J30" s="10"/>
      <c r="K30" s="35" t="str">
        <f t="shared" si="64"/>
        <v/>
      </c>
      <c r="L30" s="10"/>
      <c r="M30" s="35" t="str">
        <f t="shared" si="65"/>
        <v/>
      </c>
      <c r="N30" s="10"/>
      <c r="O30" s="35" t="str">
        <f t="shared" si="66"/>
        <v/>
      </c>
      <c r="P30" s="10">
        <v>5.3</v>
      </c>
      <c r="Q30" s="35">
        <f t="shared" si="67"/>
        <v>21.2</v>
      </c>
      <c r="R30" s="10"/>
      <c r="S30" s="35" t="str">
        <f t="shared" si="68"/>
        <v/>
      </c>
      <c r="T30" s="10"/>
      <c r="U30" s="35" t="str">
        <f t="shared" si="69"/>
        <v/>
      </c>
      <c r="V30" s="10"/>
      <c r="W30" s="35" t="str">
        <f t="shared" si="70"/>
        <v/>
      </c>
      <c r="X30" s="10"/>
      <c r="Y30" s="35" t="str">
        <f t="shared" si="71"/>
        <v/>
      </c>
      <c r="Z30" s="10"/>
      <c r="AA30" s="35" t="str">
        <f t="shared" si="72"/>
        <v/>
      </c>
      <c r="AB30" s="10"/>
      <c r="AC30" s="35" t="str">
        <f t="shared" si="73"/>
        <v/>
      </c>
      <c r="AD30" s="10"/>
      <c r="AE30" s="35" t="str">
        <f t="shared" si="74"/>
        <v/>
      </c>
      <c r="AG30" s="11" t="str">
        <f t="shared" si="0"/>
        <v xml:space="preserve">     Internal secondary branch</v>
      </c>
      <c r="AH30" s="12">
        <f t="shared" si="9"/>
        <v>3</v>
      </c>
      <c r="AI30" s="13">
        <f t="shared" si="1"/>
        <v>5.3</v>
      </c>
      <c r="AJ30" s="14" t="str">
        <f t="shared" si="2"/>
        <v>–</v>
      </c>
      <c r="AK30" s="15">
        <f t="shared" si="3"/>
        <v>6.5</v>
      </c>
      <c r="AL30" s="16">
        <f t="shared" si="4"/>
        <v>17.241379310344826</v>
      </c>
      <c r="AM30" s="17" t="str">
        <f t="shared" si="10"/>
        <v>–</v>
      </c>
      <c r="AN30" s="18">
        <f t="shared" si="5"/>
        <v>21.2</v>
      </c>
      <c r="AO30" s="87">
        <f t="shared" si="6"/>
        <v>5.8999999999999995</v>
      </c>
      <c r="AP30" s="19">
        <f t="shared" si="11"/>
        <v>18.998279476613892</v>
      </c>
      <c r="AQ30" s="14">
        <f t="shared" si="7"/>
        <v>0.60000000000000009</v>
      </c>
      <c r="AR30" s="20">
        <f t="shared" si="12"/>
        <v>2.0164494299934224</v>
      </c>
      <c r="AS30" s="14" t="str">
        <f t="shared" si="8"/>
        <v>?</v>
      </c>
      <c r="AT30" s="17" t="str">
        <f t="shared" si="13"/>
        <v>?</v>
      </c>
    </row>
    <row r="31" spans="1:46" x14ac:dyDescent="0.2">
      <c r="A31" s="61" t="s">
        <v>47</v>
      </c>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141"/>
      <c r="AG31" s="11" t="str">
        <f>A31</f>
        <v>Claw 4 lengths</v>
      </c>
      <c r="AH31" s="12"/>
      <c r="AI31" s="13"/>
      <c r="AJ31" s="14"/>
      <c r="AK31" s="15"/>
      <c r="AL31" s="16"/>
      <c r="AM31" s="17"/>
      <c r="AN31" s="18"/>
      <c r="AO31" s="87"/>
      <c r="AP31" s="19"/>
      <c r="AQ31" s="14"/>
      <c r="AR31" s="20"/>
      <c r="AS31" s="14"/>
      <c r="AT31" s="17"/>
    </row>
    <row r="32" spans="1:46" x14ac:dyDescent="0.2">
      <c r="A32" s="9" t="s">
        <v>48</v>
      </c>
      <c r="B32" s="10">
        <v>14.9</v>
      </c>
      <c r="C32" s="35">
        <f t="shared" ref="C32:C35" si="75">IF(AND((B32&gt;0),(B$5&gt;0)),(B32/B$5*100),"")</f>
        <v>31.236897274633122</v>
      </c>
      <c r="D32" s="10"/>
      <c r="E32" s="35" t="str">
        <f t="shared" ref="E32:E35" si="76">IF(AND((D32&gt;0),(D$5&gt;0)),(D32/D$5*100),"")</f>
        <v/>
      </c>
      <c r="F32" s="10">
        <v>13.7</v>
      </c>
      <c r="G32" s="35">
        <f t="shared" ref="G32:G35" si="77">IF(AND((F32&gt;0),(F$5&gt;0)),(F32/F$5*100),"")</f>
        <v>36.339522546419097</v>
      </c>
      <c r="H32" s="10">
        <v>9</v>
      </c>
      <c r="I32" s="35">
        <f t="shared" ref="I32:I35" si="78">IF(AND((H32&gt;0),(H$5&gt;0)),(H32/H$5*100),"")</f>
        <v>28.30188679245283</v>
      </c>
      <c r="J32" s="10">
        <v>13.9</v>
      </c>
      <c r="K32" s="35">
        <f t="shared" ref="K32:K35" si="79">IF(AND((J32&gt;0),(J$5&gt;0)),(J32/J$5*100),"")</f>
        <v>30.549450549450551</v>
      </c>
      <c r="L32" s="10">
        <v>12.9</v>
      </c>
      <c r="M32" s="35">
        <f t="shared" ref="M32:M35" si="80">IF(AND((L32&gt;0),(L$5&gt;0)),(L32/L$5*100),"")</f>
        <v>29.31818181818182</v>
      </c>
      <c r="N32" s="10">
        <v>13.9</v>
      </c>
      <c r="O32" s="35">
        <f t="shared" ref="O32:O35" si="81">IF(AND((N32&gt;0),(N$5&gt;0)),(N32/N$5*100),"")</f>
        <v>39.265536723163848</v>
      </c>
      <c r="P32" s="10">
        <v>7.5</v>
      </c>
      <c r="Q32" s="35">
        <f t="shared" ref="Q32:Q35" si="82">IF(AND((P32&gt;0),(P$5&gt;0)),(P32/P$5*100),"")</f>
        <v>30</v>
      </c>
      <c r="R32" s="10"/>
      <c r="S32" s="35" t="str">
        <f t="shared" ref="S32:S35" si="83">IF(AND((R32&gt;0),(R$5&gt;0)),(R32/R$5*100),"")</f>
        <v/>
      </c>
      <c r="T32" s="10"/>
      <c r="U32" s="35" t="str">
        <f t="shared" ref="U32:U35" si="84">IF(AND((T32&gt;0),(T$5&gt;0)),(T32/T$5*100),"")</f>
        <v/>
      </c>
      <c r="V32" s="10"/>
      <c r="W32" s="35" t="str">
        <f t="shared" ref="W32:W35" si="85">IF(AND((V32&gt;0),(V$5&gt;0)),(V32/V$5*100),"")</f>
        <v/>
      </c>
      <c r="X32" s="10"/>
      <c r="Y32" s="35" t="str">
        <f t="shared" ref="Y32:Y35" si="86">IF(AND((X32&gt;0),(X$5&gt;0)),(X32/X$5*100),"")</f>
        <v/>
      </c>
      <c r="Z32" s="10"/>
      <c r="AA32" s="35" t="str">
        <f t="shared" ref="AA32:AA35" si="87">IF(AND((Z32&gt;0),(Z$5&gt;0)),(Z32/Z$5*100),"")</f>
        <v/>
      </c>
      <c r="AB32" s="10"/>
      <c r="AC32" s="35" t="str">
        <f t="shared" ref="AC32:AC35" si="88">IF(AND((AB32&gt;0),(AB$5&gt;0)),(AB32/AB$5*100),"")</f>
        <v/>
      </c>
      <c r="AD32" s="10"/>
      <c r="AE32" s="35" t="str">
        <f t="shared" ref="AE32:AE35" si="89">IF(AND((AD32&gt;0),(AD$5&gt;0)),(AD32/AD$5*100),"")</f>
        <v/>
      </c>
      <c r="AG32" s="11" t="str">
        <f t="shared" si="0"/>
        <v xml:space="preserve">     Anterior primary branch</v>
      </c>
      <c r="AH32" s="12">
        <f t="shared" si="9"/>
        <v>7</v>
      </c>
      <c r="AI32" s="13">
        <f t="shared" si="1"/>
        <v>7.5</v>
      </c>
      <c r="AJ32" s="14" t="str">
        <f t="shared" si="2"/>
        <v>–</v>
      </c>
      <c r="AK32" s="15">
        <f t="shared" si="3"/>
        <v>14.9</v>
      </c>
      <c r="AL32" s="16">
        <f t="shared" si="4"/>
        <v>28.30188679245283</v>
      </c>
      <c r="AM32" s="17" t="str">
        <f t="shared" si="10"/>
        <v>–</v>
      </c>
      <c r="AN32" s="18">
        <f t="shared" si="5"/>
        <v>39.265536723163848</v>
      </c>
      <c r="AO32" s="87">
        <f t="shared" si="6"/>
        <v>12.257142857142858</v>
      </c>
      <c r="AP32" s="19">
        <f t="shared" si="11"/>
        <v>32.144496529185894</v>
      </c>
      <c r="AQ32" s="14">
        <f t="shared" si="7"/>
        <v>2.8318763761018486</v>
      </c>
      <c r="AR32" s="20">
        <f t="shared" si="12"/>
        <v>4.0625922474042024</v>
      </c>
      <c r="AS32" s="14">
        <f t="shared" si="8"/>
        <v>14.9</v>
      </c>
      <c r="AT32" s="17">
        <f t="shared" si="13"/>
        <v>31.236897274633122</v>
      </c>
    </row>
    <row r="33" spans="1:46" x14ac:dyDescent="0.2">
      <c r="A33" s="9" t="s">
        <v>49</v>
      </c>
      <c r="B33" s="10">
        <v>12.9</v>
      </c>
      <c r="C33" s="35">
        <f t="shared" si="75"/>
        <v>27.044025157232703</v>
      </c>
      <c r="D33" s="10"/>
      <c r="E33" s="35" t="str">
        <f t="shared" si="76"/>
        <v/>
      </c>
      <c r="F33" s="10">
        <v>10.8</v>
      </c>
      <c r="G33" s="35">
        <f t="shared" si="77"/>
        <v>28.647214854111407</v>
      </c>
      <c r="H33" s="10">
        <v>7.2</v>
      </c>
      <c r="I33" s="35">
        <f t="shared" si="78"/>
        <v>22.641509433962266</v>
      </c>
      <c r="J33" s="10">
        <v>9.9</v>
      </c>
      <c r="K33" s="35">
        <f t="shared" si="79"/>
        <v>21.758241758241759</v>
      </c>
      <c r="L33" s="10"/>
      <c r="M33" s="35" t="str">
        <f t="shared" si="80"/>
        <v/>
      </c>
      <c r="N33" s="10">
        <v>10.8</v>
      </c>
      <c r="O33" s="35">
        <f t="shared" si="81"/>
        <v>30.508474576271187</v>
      </c>
      <c r="P33" s="10"/>
      <c r="Q33" s="35" t="str">
        <f t="shared" si="82"/>
        <v/>
      </c>
      <c r="R33" s="10"/>
      <c r="S33" s="35" t="str">
        <f t="shared" si="83"/>
        <v/>
      </c>
      <c r="T33" s="10"/>
      <c r="U33" s="35" t="str">
        <f t="shared" si="84"/>
        <v/>
      </c>
      <c r="V33" s="10"/>
      <c r="W33" s="35" t="str">
        <f t="shared" si="85"/>
        <v/>
      </c>
      <c r="X33" s="10"/>
      <c r="Y33" s="35" t="str">
        <f t="shared" si="86"/>
        <v/>
      </c>
      <c r="Z33" s="10"/>
      <c r="AA33" s="35" t="str">
        <f t="shared" si="87"/>
        <v/>
      </c>
      <c r="AB33" s="10"/>
      <c r="AC33" s="35" t="str">
        <f t="shared" si="88"/>
        <v/>
      </c>
      <c r="AD33" s="10"/>
      <c r="AE33" s="35" t="str">
        <f t="shared" si="89"/>
        <v/>
      </c>
      <c r="AG33" s="11" t="str">
        <f t="shared" si="0"/>
        <v xml:space="preserve">     Anterior secondary branch</v>
      </c>
      <c r="AH33" s="12">
        <f t="shared" si="9"/>
        <v>5</v>
      </c>
      <c r="AI33" s="13">
        <f t="shared" si="1"/>
        <v>7.2</v>
      </c>
      <c r="AJ33" s="14" t="str">
        <f t="shared" si="2"/>
        <v>–</v>
      </c>
      <c r="AK33" s="15">
        <f t="shared" si="3"/>
        <v>12.9</v>
      </c>
      <c r="AL33" s="16">
        <f t="shared" si="4"/>
        <v>21.758241758241759</v>
      </c>
      <c r="AM33" s="17" t="str">
        <f t="shared" si="10"/>
        <v>–</v>
      </c>
      <c r="AN33" s="18">
        <f t="shared" si="5"/>
        <v>30.508474576271187</v>
      </c>
      <c r="AO33" s="87">
        <f t="shared" si="6"/>
        <v>10.320000000000002</v>
      </c>
      <c r="AP33" s="19">
        <f t="shared" si="11"/>
        <v>26.119893155963865</v>
      </c>
      <c r="AQ33" s="14">
        <f t="shared" si="7"/>
        <v>2.0632498636859151</v>
      </c>
      <c r="AR33" s="20">
        <f t="shared" si="12"/>
        <v>3.7955295426692186</v>
      </c>
      <c r="AS33" s="14">
        <f t="shared" si="8"/>
        <v>12.9</v>
      </c>
      <c r="AT33" s="17">
        <f t="shared" si="13"/>
        <v>27.044025157232703</v>
      </c>
    </row>
    <row r="34" spans="1:46" x14ac:dyDescent="0.2">
      <c r="A34" s="9" t="s">
        <v>50</v>
      </c>
      <c r="B34" s="10">
        <v>15.5</v>
      </c>
      <c r="C34" s="35">
        <f t="shared" si="75"/>
        <v>32.494758909853246</v>
      </c>
      <c r="D34" s="10"/>
      <c r="E34" s="35" t="str">
        <f t="shared" si="76"/>
        <v/>
      </c>
      <c r="F34" s="10">
        <v>13.9</v>
      </c>
      <c r="G34" s="35">
        <f t="shared" si="77"/>
        <v>36.870026525198938</v>
      </c>
      <c r="H34" s="10">
        <v>9.4</v>
      </c>
      <c r="I34" s="35">
        <f t="shared" si="78"/>
        <v>29.559748427672954</v>
      </c>
      <c r="J34" s="10">
        <v>15.9</v>
      </c>
      <c r="K34" s="35">
        <f t="shared" si="79"/>
        <v>34.945054945054949</v>
      </c>
      <c r="L34" s="10">
        <v>14.6</v>
      </c>
      <c r="M34" s="35">
        <f t="shared" si="80"/>
        <v>33.18181818181818</v>
      </c>
      <c r="N34" s="10"/>
      <c r="O34" s="35" t="str">
        <f t="shared" si="81"/>
        <v/>
      </c>
      <c r="P34" s="10"/>
      <c r="Q34" s="35" t="str">
        <f t="shared" si="82"/>
        <v/>
      </c>
      <c r="R34" s="10"/>
      <c r="S34" s="35" t="str">
        <f t="shared" si="83"/>
        <v/>
      </c>
      <c r="T34" s="10"/>
      <c r="U34" s="35" t="str">
        <f t="shared" si="84"/>
        <v/>
      </c>
      <c r="V34" s="10"/>
      <c r="W34" s="35" t="str">
        <f t="shared" si="85"/>
        <v/>
      </c>
      <c r="X34" s="10"/>
      <c r="Y34" s="35" t="str">
        <f t="shared" si="86"/>
        <v/>
      </c>
      <c r="Z34" s="10"/>
      <c r="AA34" s="35" t="str">
        <f t="shared" si="87"/>
        <v/>
      </c>
      <c r="AB34" s="10"/>
      <c r="AC34" s="35" t="str">
        <f t="shared" si="88"/>
        <v/>
      </c>
      <c r="AD34" s="10"/>
      <c r="AE34" s="35" t="str">
        <f t="shared" si="89"/>
        <v/>
      </c>
      <c r="AG34" s="11" t="str">
        <f t="shared" si="0"/>
        <v xml:space="preserve">     Posterior primary branch</v>
      </c>
      <c r="AH34" s="12">
        <f t="shared" si="9"/>
        <v>5</v>
      </c>
      <c r="AI34" s="13">
        <f t="shared" si="1"/>
        <v>9.4</v>
      </c>
      <c r="AJ34" s="14" t="str">
        <f t="shared" si="2"/>
        <v>–</v>
      </c>
      <c r="AK34" s="15">
        <f t="shared" si="3"/>
        <v>15.9</v>
      </c>
      <c r="AL34" s="16">
        <f t="shared" si="4"/>
        <v>29.559748427672954</v>
      </c>
      <c r="AM34" s="17" t="str">
        <f t="shared" si="10"/>
        <v>–</v>
      </c>
      <c r="AN34" s="18">
        <f t="shared" si="5"/>
        <v>36.870026525198938</v>
      </c>
      <c r="AO34" s="87">
        <f t="shared" si="6"/>
        <v>13.86</v>
      </c>
      <c r="AP34" s="19">
        <f t="shared" si="11"/>
        <v>33.410281397919654</v>
      </c>
      <c r="AQ34" s="14">
        <f t="shared" si="7"/>
        <v>2.612087287974894</v>
      </c>
      <c r="AR34" s="20">
        <f t="shared" si="12"/>
        <v>2.7405449827061137</v>
      </c>
      <c r="AS34" s="14">
        <f t="shared" si="8"/>
        <v>15.5</v>
      </c>
      <c r="AT34" s="17">
        <f t="shared" si="13"/>
        <v>32.494758909853246</v>
      </c>
    </row>
    <row r="35" spans="1:46" ht="13.5" thickBot="1" x14ac:dyDescent="0.25">
      <c r="A35" s="9" t="s">
        <v>51</v>
      </c>
      <c r="B35" s="10">
        <v>14.4</v>
      </c>
      <c r="C35" s="35">
        <f t="shared" si="75"/>
        <v>30.188679245283019</v>
      </c>
      <c r="D35" s="10"/>
      <c r="E35" s="35" t="str">
        <f t="shared" si="76"/>
        <v/>
      </c>
      <c r="F35" s="10">
        <v>11.8</v>
      </c>
      <c r="G35" s="35">
        <f t="shared" si="77"/>
        <v>31.299734748010611</v>
      </c>
      <c r="H35" s="10">
        <v>7.1</v>
      </c>
      <c r="I35" s="35">
        <f t="shared" si="78"/>
        <v>22.327044025157232</v>
      </c>
      <c r="J35" s="10">
        <v>11.1</v>
      </c>
      <c r="K35" s="35">
        <f t="shared" si="79"/>
        <v>24.395604395604394</v>
      </c>
      <c r="L35" s="10"/>
      <c r="M35" s="35" t="str">
        <f t="shared" si="80"/>
        <v/>
      </c>
      <c r="N35" s="10"/>
      <c r="O35" s="35" t="str">
        <f t="shared" si="81"/>
        <v/>
      </c>
      <c r="P35" s="10"/>
      <c r="Q35" s="35" t="str">
        <f t="shared" si="82"/>
        <v/>
      </c>
      <c r="R35" s="10"/>
      <c r="S35" s="35" t="str">
        <f t="shared" si="83"/>
        <v/>
      </c>
      <c r="T35" s="10"/>
      <c r="U35" s="35" t="str">
        <f t="shared" si="84"/>
        <v/>
      </c>
      <c r="V35" s="10"/>
      <c r="W35" s="35" t="str">
        <f t="shared" si="85"/>
        <v/>
      </c>
      <c r="X35" s="10"/>
      <c r="Y35" s="35" t="str">
        <f t="shared" si="86"/>
        <v/>
      </c>
      <c r="Z35" s="10"/>
      <c r="AA35" s="35" t="str">
        <f t="shared" si="87"/>
        <v/>
      </c>
      <c r="AB35" s="10"/>
      <c r="AC35" s="35" t="str">
        <f t="shared" si="88"/>
        <v/>
      </c>
      <c r="AD35" s="10"/>
      <c r="AE35" s="35" t="str">
        <f t="shared" si="89"/>
        <v/>
      </c>
      <c r="AG35" s="22" t="str">
        <f t="shared" si="0"/>
        <v xml:space="preserve">     Posterior secondary branch</v>
      </c>
      <c r="AH35" s="23">
        <f>COUNT(B35,D35,F35,H35,J35,L35,N35,P35,R35,T35,V35,X35,Z35,AB35,AD35)</f>
        <v>4</v>
      </c>
      <c r="AI35" s="88">
        <f t="shared" si="1"/>
        <v>7.1</v>
      </c>
      <c r="AJ35" s="24" t="str">
        <f t="shared" si="2"/>
        <v>–</v>
      </c>
      <c r="AK35" s="25">
        <f t="shared" si="3"/>
        <v>14.4</v>
      </c>
      <c r="AL35" s="26">
        <f t="shared" si="4"/>
        <v>22.327044025157232</v>
      </c>
      <c r="AM35" s="27" t="str">
        <f t="shared" si="10"/>
        <v>–</v>
      </c>
      <c r="AN35" s="28">
        <f t="shared" si="5"/>
        <v>31.299734748010611</v>
      </c>
      <c r="AO35" s="89">
        <f t="shared" si="6"/>
        <v>11.100000000000001</v>
      </c>
      <c r="AP35" s="29">
        <f t="shared" si="11"/>
        <v>27.052765603513816</v>
      </c>
      <c r="AQ35" s="24">
        <f t="shared" si="7"/>
        <v>3.02103734943258</v>
      </c>
      <c r="AR35" s="30">
        <f t="shared" si="12"/>
        <v>4.3689682765272693</v>
      </c>
      <c r="AS35" s="24">
        <f t="shared" si="8"/>
        <v>14.4</v>
      </c>
      <c r="AT35" s="27">
        <f t="shared" si="13"/>
        <v>30.188679245283019</v>
      </c>
    </row>
    <row r="36" spans="1:46" x14ac:dyDescent="0.2">
      <c r="A36" s="31" t="s">
        <v>3</v>
      </c>
      <c r="B36" s="162">
        <v>0</v>
      </c>
      <c r="C36" s="162"/>
      <c r="D36" s="162">
        <v>0</v>
      </c>
      <c r="E36" s="162"/>
      <c r="F36" s="162">
        <v>0</v>
      </c>
      <c r="G36" s="162"/>
      <c r="H36" s="162">
        <v>0</v>
      </c>
      <c r="I36" s="162"/>
      <c r="J36" s="162">
        <v>0</v>
      </c>
      <c r="K36" s="162"/>
      <c r="L36" s="162">
        <v>0</v>
      </c>
      <c r="M36" s="162"/>
      <c r="N36" s="162">
        <v>0</v>
      </c>
      <c r="O36" s="162"/>
      <c r="P36" s="162">
        <v>0</v>
      </c>
      <c r="Q36" s="162"/>
      <c r="R36" s="162"/>
      <c r="S36" s="162"/>
      <c r="T36" s="162"/>
      <c r="U36" s="162"/>
      <c r="V36" s="162"/>
      <c r="W36" s="162"/>
      <c r="X36" s="162"/>
      <c r="Y36" s="162"/>
      <c r="Z36" s="162"/>
      <c r="AA36" s="162"/>
      <c r="AB36" s="162"/>
      <c r="AC36" s="162"/>
      <c r="AD36" s="162"/>
      <c r="AE36" s="162"/>
      <c r="AH36" s="21"/>
      <c r="AI36" s="14"/>
      <c r="AJ36" s="14"/>
      <c r="AK36" s="14"/>
      <c r="AL36" s="17"/>
      <c r="AM36" s="17"/>
      <c r="AN36" s="17"/>
      <c r="AO36" s="164">
        <f>AVERAGE(B36,D36,F36,H36,J36,L36,N36,P36,R36,T36,V36,X36,Z36,AB36,AD36)</f>
        <v>0</v>
      </c>
      <c r="AP36" s="164"/>
      <c r="AQ36" s="14"/>
      <c r="AR36" s="17"/>
      <c r="AS36" s="14"/>
      <c r="AT36" s="17"/>
    </row>
    <row r="37" spans="1:46" x14ac:dyDescent="0.2">
      <c r="A37" s="31" t="s">
        <v>8</v>
      </c>
      <c r="B37" s="153">
        <v>1</v>
      </c>
      <c r="C37" s="153"/>
      <c r="D37" s="153">
        <v>1</v>
      </c>
      <c r="E37" s="153"/>
      <c r="F37" s="153">
        <v>1</v>
      </c>
      <c r="G37" s="153"/>
      <c r="H37" s="153">
        <v>1</v>
      </c>
      <c r="I37" s="153"/>
      <c r="J37" s="153">
        <v>1</v>
      </c>
      <c r="K37" s="153"/>
      <c r="L37" s="153">
        <v>1</v>
      </c>
      <c r="M37" s="153"/>
      <c r="N37" s="153">
        <v>1</v>
      </c>
      <c r="O37" s="153"/>
      <c r="P37" s="153">
        <v>1</v>
      </c>
      <c r="Q37" s="153"/>
      <c r="R37" s="153"/>
      <c r="S37" s="153"/>
      <c r="T37" s="153"/>
      <c r="U37" s="153"/>
      <c r="V37" s="153"/>
      <c r="W37" s="153"/>
      <c r="X37" s="153"/>
      <c r="Y37" s="153"/>
      <c r="Z37" s="153"/>
      <c r="AA37" s="153"/>
      <c r="AB37" s="153"/>
      <c r="AC37" s="153"/>
      <c r="AD37" s="153"/>
      <c r="AE37" s="153"/>
      <c r="AH37" s="21"/>
      <c r="AI37" s="14"/>
      <c r="AJ37" s="14"/>
      <c r="AK37" s="14"/>
      <c r="AL37" s="17"/>
      <c r="AM37" s="17"/>
      <c r="AN37" s="17"/>
      <c r="AO37" s="163">
        <f t="shared" ref="AO37:AO45" si="90">AVERAGE(B37,D37,F37,H37,J37,L37,N37,P37,R37,T37,V37,X37,Z37,AB37,AD37)</f>
        <v>1</v>
      </c>
      <c r="AP37" s="163"/>
      <c r="AQ37" s="14"/>
      <c r="AR37" s="17"/>
      <c r="AS37" s="14"/>
      <c r="AT37" s="17"/>
    </row>
    <row r="38" spans="1:46" x14ac:dyDescent="0.2">
      <c r="A38" s="31" t="s">
        <v>22</v>
      </c>
      <c r="B38" s="153">
        <v>0</v>
      </c>
      <c r="C38" s="153"/>
      <c r="D38" s="153">
        <v>0</v>
      </c>
      <c r="E38" s="153"/>
      <c r="F38" s="153">
        <v>0</v>
      </c>
      <c r="G38" s="153"/>
      <c r="H38" s="153">
        <v>0</v>
      </c>
      <c r="I38" s="153"/>
      <c r="J38" s="153">
        <v>0</v>
      </c>
      <c r="K38" s="153"/>
      <c r="L38" s="153">
        <v>0</v>
      </c>
      <c r="M38" s="153"/>
      <c r="N38" s="153">
        <v>0</v>
      </c>
      <c r="O38" s="153"/>
      <c r="P38" s="153">
        <v>0</v>
      </c>
      <c r="Q38" s="153"/>
      <c r="R38" s="153"/>
      <c r="S38" s="153"/>
      <c r="T38" s="153"/>
      <c r="U38" s="153"/>
      <c r="V38" s="153"/>
      <c r="W38" s="153"/>
      <c r="X38" s="153"/>
      <c r="Y38" s="153"/>
      <c r="Z38" s="153"/>
      <c r="AA38" s="153"/>
      <c r="AB38" s="153"/>
      <c r="AC38" s="153"/>
      <c r="AD38" s="153"/>
      <c r="AE38" s="153"/>
      <c r="AH38" s="21"/>
      <c r="AI38" s="14"/>
      <c r="AJ38" s="14"/>
      <c r="AK38" s="14"/>
      <c r="AL38" s="17"/>
      <c r="AM38" s="17"/>
      <c r="AN38" s="17"/>
      <c r="AO38" s="163">
        <f t="shared" si="90"/>
        <v>0</v>
      </c>
      <c r="AP38" s="163"/>
      <c r="AQ38" s="14"/>
      <c r="AR38" s="17"/>
      <c r="AS38" s="14"/>
      <c r="AT38" s="17"/>
    </row>
    <row r="39" spans="1:46" x14ac:dyDescent="0.2">
      <c r="A39" s="31" t="s">
        <v>23</v>
      </c>
      <c r="B39" s="153">
        <v>0</v>
      </c>
      <c r="C39" s="153"/>
      <c r="D39" s="153">
        <v>0</v>
      </c>
      <c r="E39" s="153"/>
      <c r="F39" s="153">
        <v>0</v>
      </c>
      <c r="G39" s="153"/>
      <c r="H39" s="153">
        <v>0</v>
      </c>
      <c r="I39" s="153"/>
      <c r="J39" s="153">
        <v>0</v>
      </c>
      <c r="K39" s="153"/>
      <c r="L39" s="153">
        <v>0</v>
      </c>
      <c r="M39" s="153"/>
      <c r="N39" s="153">
        <v>0</v>
      </c>
      <c r="O39" s="153"/>
      <c r="P39" s="153">
        <v>0</v>
      </c>
      <c r="Q39" s="153"/>
      <c r="R39" s="153"/>
      <c r="S39" s="153"/>
      <c r="T39" s="153"/>
      <c r="U39" s="153"/>
      <c r="V39" s="153"/>
      <c r="W39" s="153"/>
      <c r="X39" s="153"/>
      <c r="Y39" s="153"/>
      <c r="Z39" s="153"/>
      <c r="AA39" s="153"/>
      <c r="AB39" s="153"/>
      <c r="AC39" s="153"/>
      <c r="AD39" s="153"/>
      <c r="AE39" s="153"/>
      <c r="AH39" s="21"/>
      <c r="AI39" s="14"/>
      <c r="AJ39" s="14"/>
      <c r="AK39" s="14"/>
      <c r="AL39" s="17"/>
      <c r="AM39" s="17"/>
      <c r="AN39" s="17"/>
      <c r="AO39" s="163">
        <f t="shared" si="90"/>
        <v>0</v>
      </c>
      <c r="AP39" s="163"/>
      <c r="AQ39" s="14"/>
      <c r="AR39" s="17"/>
      <c r="AS39" s="14"/>
      <c r="AT39" s="17"/>
    </row>
    <row r="40" spans="1:46" x14ac:dyDescent="0.2">
      <c r="A40" s="31" t="s">
        <v>24</v>
      </c>
      <c r="B40" s="153">
        <v>0</v>
      </c>
      <c r="C40" s="153"/>
      <c r="D40" s="153">
        <v>0</v>
      </c>
      <c r="E40" s="153"/>
      <c r="F40" s="153">
        <v>0</v>
      </c>
      <c r="G40" s="153"/>
      <c r="H40" s="153">
        <v>0</v>
      </c>
      <c r="I40" s="153"/>
      <c r="J40" s="153">
        <v>0</v>
      </c>
      <c r="K40" s="153"/>
      <c r="L40" s="153">
        <v>0</v>
      </c>
      <c r="M40" s="153"/>
      <c r="N40" s="153">
        <v>0</v>
      </c>
      <c r="O40" s="153"/>
      <c r="P40" s="153">
        <v>0</v>
      </c>
      <c r="Q40" s="153"/>
      <c r="R40" s="153"/>
      <c r="S40" s="153"/>
      <c r="T40" s="153"/>
      <c r="U40" s="153"/>
      <c r="V40" s="153"/>
      <c r="W40" s="153"/>
      <c r="X40" s="153"/>
      <c r="Y40" s="153"/>
      <c r="Z40" s="153"/>
      <c r="AA40" s="153"/>
      <c r="AB40" s="153"/>
      <c r="AC40" s="153"/>
      <c r="AD40" s="153"/>
      <c r="AE40" s="153"/>
      <c r="AH40" s="21"/>
      <c r="AI40" s="14"/>
      <c r="AJ40" s="14"/>
      <c r="AK40" s="14"/>
      <c r="AL40" s="17"/>
      <c r="AM40" s="17"/>
      <c r="AN40" s="17"/>
      <c r="AO40" s="163">
        <f t="shared" si="90"/>
        <v>0</v>
      </c>
      <c r="AP40" s="163"/>
      <c r="AQ40" s="14"/>
      <c r="AR40" s="17"/>
      <c r="AS40" s="14"/>
      <c r="AT40" s="17"/>
    </row>
    <row r="41" spans="1:46" x14ac:dyDescent="0.2">
      <c r="A41" s="31" t="s">
        <v>7</v>
      </c>
      <c r="B41" s="153">
        <v>0</v>
      </c>
      <c r="C41" s="153"/>
      <c r="D41" s="153">
        <v>0</v>
      </c>
      <c r="E41" s="153"/>
      <c r="F41" s="153">
        <v>0</v>
      </c>
      <c r="G41" s="153"/>
      <c r="H41" s="153">
        <v>0</v>
      </c>
      <c r="I41" s="153"/>
      <c r="J41" s="153">
        <v>0</v>
      </c>
      <c r="K41" s="153"/>
      <c r="L41" s="153">
        <v>0</v>
      </c>
      <c r="M41" s="153"/>
      <c r="N41" s="153">
        <v>0</v>
      </c>
      <c r="O41" s="153"/>
      <c r="P41" s="153">
        <v>0</v>
      </c>
      <c r="Q41" s="153"/>
      <c r="R41" s="153"/>
      <c r="S41" s="153"/>
      <c r="T41" s="153"/>
      <c r="U41" s="153"/>
      <c r="V41" s="153"/>
      <c r="W41" s="153"/>
      <c r="X41" s="153"/>
      <c r="Y41" s="153"/>
      <c r="Z41" s="153"/>
      <c r="AA41" s="153"/>
      <c r="AB41" s="153"/>
      <c r="AC41" s="153"/>
      <c r="AD41" s="153"/>
      <c r="AE41" s="153"/>
      <c r="AH41" s="21"/>
      <c r="AI41" s="14"/>
      <c r="AJ41" s="14"/>
      <c r="AK41" s="14"/>
      <c r="AL41" s="17"/>
      <c r="AM41" s="17"/>
      <c r="AN41" s="17"/>
      <c r="AO41" s="163">
        <f t="shared" si="90"/>
        <v>0</v>
      </c>
      <c r="AP41" s="163"/>
      <c r="AQ41" s="14"/>
      <c r="AR41" s="17"/>
      <c r="AS41" s="14"/>
      <c r="AT41" s="17"/>
    </row>
    <row r="42" spans="1:46" x14ac:dyDescent="0.2">
      <c r="A42" s="31" t="s">
        <v>10</v>
      </c>
      <c r="B42" s="153">
        <v>0</v>
      </c>
      <c r="C42" s="153"/>
      <c r="D42" s="153">
        <v>0</v>
      </c>
      <c r="E42" s="153"/>
      <c r="F42" s="153">
        <v>0</v>
      </c>
      <c r="G42" s="153"/>
      <c r="H42" s="153">
        <v>0</v>
      </c>
      <c r="I42" s="153"/>
      <c r="J42" s="153">
        <v>0</v>
      </c>
      <c r="K42" s="153"/>
      <c r="L42" s="153">
        <v>0</v>
      </c>
      <c r="M42" s="153"/>
      <c r="N42" s="153">
        <v>0</v>
      </c>
      <c r="O42" s="153"/>
      <c r="P42" s="153">
        <v>0</v>
      </c>
      <c r="Q42" s="153"/>
      <c r="R42" s="153"/>
      <c r="S42" s="153"/>
      <c r="T42" s="153"/>
      <c r="U42" s="153"/>
      <c r="V42" s="153"/>
      <c r="W42" s="153"/>
      <c r="X42" s="153"/>
      <c r="Y42" s="153"/>
      <c r="Z42" s="153"/>
      <c r="AA42" s="153"/>
      <c r="AB42" s="153"/>
      <c r="AC42" s="153"/>
      <c r="AD42" s="153"/>
      <c r="AE42" s="153"/>
      <c r="AH42" s="21"/>
      <c r="AI42" s="14"/>
      <c r="AJ42" s="14"/>
      <c r="AK42" s="14"/>
      <c r="AL42" s="17"/>
      <c r="AM42" s="17"/>
      <c r="AN42" s="17"/>
      <c r="AO42" s="163">
        <f t="shared" si="90"/>
        <v>0</v>
      </c>
      <c r="AP42" s="163"/>
      <c r="AQ42" s="14"/>
      <c r="AR42" s="17"/>
      <c r="AS42" s="14"/>
      <c r="AT42" s="17"/>
    </row>
    <row r="43" spans="1:46" x14ac:dyDescent="0.2">
      <c r="A43" s="31" t="s">
        <v>11</v>
      </c>
      <c r="B43" s="153">
        <v>0</v>
      </c>
      <c r="C43" s="153"/>
      <c r="D43" s="153">
        <v>0</v>
      </c>
      <c r="E43" s="153"/>
      <c r="F43" s="153">
        <v>0</v>
      </c>
      <c r="G43" s="153"/>
      <c r="H43" s="153">
        <v>0</v>
      </c>
      <c r="I43" s="153"/>
      <c r="J43" s="153">
        <v>0</v>
      </c>
      <c r="K43" s="153"/>
      <c r="L43" s="153">
        <v>0</v>
      </c>
      <c r="M43" s="153"/>
      <c r="N43" s="153">
        <v>0</v>
      </c>
      <c r="O43" s="153"/>
      <c r="P43" s="153">
        <v>0</v>
      </c>
      <c r="Q43" s="153"/>
      <c r="R43" s="153"/>
      <c r="S43" s="153"/>
      <c r="T43" s="153"/>
      <c r="U43" s="153"/>
      <c r="V43" s="153"/>
      <c r="W43" s="153"/>
      <c r="X43" s="153"/>
      <c r="Y43" s="153"/>
      <c r="Z43" s="153"/>
      <c r="AA43" s="153"/>
      <c r="AB43" s="153"/>
      <c r="AC43" s="153"/>
      <c r="AD43" s="153"/>
      <c r="AE43" s="153"/>
      <c r="AO43" s="163">
        <f t="shared" si="90"/>
        <v>0</v>
      </c>
      <c r="AP43" s="163"/>
    </row>
    <row r="44" spans="1:46" x14ac:dyDescent="0.2">
      <c r="A44" s="31" t="s">
        <v>12</v>
      </c>
      <c r="B44" s="153">
        <v>0</v>
      </c>
      <c r="C44" s="153"/>
      <c r="D44" s="153">
        <v>0</v>
      </c>
      <c r="E44" s="153"/>
      <c r="F44" s="153">
        <v>0</v>
      </c>
      <c r="G44" s="153"/>
      <c r="H44" s="153">
        <v>0</v>
      </c>
      <c r="I44" s="153"/>
      <c r="J44" s="153">
        <v>0</v>
      </c>
      <c r="K44" s="153"/>
      <c r="L44" s="153">
        <v>0</v>
      </c>
      <c r="M44" s="153"/>
      <c r="N44" s="153">
        <v>0</v>
      </c>
      <c r="O44" s="153"/>
      <c r="P44" s="153">
        <v>0</v>
      </c>
      <c r="Q44" s="153"/>
      <c r="R44" s="153"/>
      <c r="S44" s="153"/>
      <c r="T44" s="153"/>
      <c r="U44" s="153"/>
      <c r="V44" s="153"/>
      <c r="W44" s="153"/>
      <c r="X44" s="153"/>
      <c r="Y44" s="153"/>
      <c r="Z44" s="153"/>
      <c r="AA44" s="153"/>
      <c r="AB44" s="153"/>
      <c r="AC44" s="153"/>
      <c r="AD44" s="153"/>
      <c r="AE44" s="153"/>
      <c r="AO44" s="163">
        <f t="shared" si="90"/>
        <v>0</v>
      </c>
      <c r="AP44" s="163"/>
    </row>
    <row r="45" spans="1:46" x14ac:dyDescent="0.2">
      <c r="A45" s="31" t="s">
        <v>13</v>
      </c>
      <c r="B45" s="153">
        <v>0</v>
      </c>
      <c r="C45" s="153"/>
      <c r="D45" s="153">
        <v>0</v>
      </c>
      <c r="E45" s="153"/>
      <c r="F45" s="153">
        <v>0</v>
      </c>
      <c r="G45" s="153"/>
      <c r="H45" s="153">
        <v>0</v>
      </c>
      <c r="I45" s="153"/>
      <c r="J45" s="153">
        <v>0</v>
      </c>
      <c r="K45" s="153"/>
      <c r="L45" s="153">
        <v>0</v>
      </c>
      <c r="M45" s="153"/>
      <c r="N45" s="153">
        <v>0</v>
      </c>
      <c r="O45" s="153"/>
      <c r="P45" s="153">
        <v>0</v>
      </c>
      <c r="Q45" s="153"/>
      <c r="R45" s="153"/>
      <c r="S45" s="153"/>
      <c r="T45" s="153"/>
      <c r="U45" s="153"/>
      <c r="V45" s="153"/>
      <c r="W45" s="153"/>
      <c r="X45" s="153"/>
      <c r="Y45" s="153"/>
      <c r="Z45" s="153"/>
      <c r="AA45" s="153"/>
      <c r="AB45" s="153"/>
      <c r="AC45" s="153"/>
      <c r="AD45" s="153"/>
      <c r="AE45" s="153"/>
      <c r="AO45" s="163">
        <f t="shared" si="90"/>
        <v>0</v>
      </c>
      <c r="AP45" s="163"/>
    </row>
    <row r="46" spans="1:46" x14ac:dyDescent="0.2">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46" x14ac:dyDescent="0.2">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46" x14ac:dyDescent="0.2">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2:31" x14ac:dyDescent="0.2">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2:31" x14ac:dyDescent="0.2">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2:31" x14ac:dyDescent="0.2">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2" spans="2:31" x14ac:dyDescent="0.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row>
    <row r="53" spans="2:31" x14ac:dyDescent="0.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row>
    <row r="54" spans="2:31" x14ac:dyDescent="0.2">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row>
    <row r="55" spans="2:31" x14ac:dyDescent="0.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row>
    <row r="56" spans="2:31" x14ac:dyDescent="0.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sheetData>
  <mergeCells count="183">
    <mergeCell ref="AO36:AP36"/>
    <mergeCell ref="AO37:AP37"/>
    <mergeCell ref="AO38:AP38"/>
    <mergeCell ref="AO39:AP39"/>
    <mergeCell ref="AO40:AP40"/>
    <mergeCell ref="AO41:AP41"/>
    <mergeCell ref="T44:U44"/>
    <mergeCell ref="V44:W44"/>
    <mergeCell ref="X44:Y44"/>
    <mergeCell ref="Z44:AA44"/>
    <mergeCell ref="AB44:AC44"/>
    <mergeCell ref="AO42:AP42"/>
    <mergeCell ref="AO43:AP43"/>
    <mergeCell ref="AO44:AP44"/>
    <mergeCell ref="AO45:AP45"/>
    <mergeCell ref="T42:U42"/>
    <mergeCell ref="V42:W42"/>
    <mergeCell ref="X42:Y42"/>
    <mergeCell ref="Z42:AA42"/>
    <mergeCell ref="AB42:AC42"/>
    <mergeCell ref="AD44:AE44"/>
    <mergeCell ref="D45:E45"/>
    <mergeCell ref="F45:G45"/>
    <mergeCell ref="H45:I45"/>
    <mergeCell ref="J45:K45"/>
    <mergeCell ref="L45:M45"/>
    <mergeCell ref="N45:O45"/>
    <mergeCell ref="AB45:AC45"/>
    <mergeCell ref="AD45:AE45"/>
    <mergeCell ref="P45:Q45"/>
    <mergeCell ref="R45:S45"/>
    <mergeCell ref="T45:U45"/>
    <mergeCell ref="V45:W45"/>
    <mergeCell ref="X45:Y45"/>
    <mergeCell ref="Z45:AA45"/>
    <mergeCell ref="L44:M44"/>
    <mergeCell ref="N44:O44"/>
    <mergeCell ref="P44:Q44"/>
    <mergeCell ref="R44:S44"/>
    <mergeCell ref="T40:U40"/>
    <mergeCell ref="V40:W40"/>
    <mergeCell ref="X40:Y40"/>
    <mergeCell ref="Z40:AA40"/>
    <mergeCell ref="AB40:AC40"/>
    <mergeCell ref="AD42:AE42"/>
    <mergeCell ref="D43:E43"/>
    <mergeCell ref="F43:G43"/>
    <mergeCell ref="H43:I43"/>
    <mergeCell ref="J43:K43"/>
    <mergeCell ref="L43:M43"/>
    <mergeCell ref="N43:O43"/>
    <mergeCell ref="P43:Q43"/>
    <mergeCell ref="R43:S43"/>
    <mergeCell ref="T43:U43"/>
    <mergeCell ref="V43:W43"/>
    <mergeCell ref="X43:Y43"/>
    <mergeCell ref="Z43:AA43"/>
    <mergeCell ref="AB43:AC43"/>
    <mergeCell ref="AD43:AE43"/>
    <mergeCell ref="L42:M42"/>
    <mergeCell ref="N42:O42"/>
    <mergeCell ref="P42:Q42"/>
    <mergeCell ref="R42:S42"/>
    <mergeCell ref="T38:U38"/>
    <mergeCell ref="V38:W38"/>
    <mergeCell ref="X38:Y38"/>
    <mergeCell ref="Z38:AA38"/>
    <mergeCell ref="AB38:AC38"/>
    <mergeCell ref="AD40:AE40"/>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L40:M40"/>
    <mergeCell ref="N40:O40"/>
    <mergeCell ref="P40:Q40"/>
    <mergeCell ref="R40:S40"/>
    <mergeCell ref="T36:U36"/>
    <mergeCell ref="V36:W36"/>
    <mergeCell ref="X36:Y36"/>
    <mergeCell ref="Z36:AA36"/>
    <mergeCell ref="AB36:AC36"/>
    <mergeCell ref="AD38:AE38"/>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L38:M38"/>
    <mergeCell ref="N38:O38"/>
    <mergeCell ref="P38:Q38"/>
    <mergeCell ref="R38:S38"/>
    <mergeCell ref="B45:C45"/>
    <mergeCell ref="D36:E36"/>
    <mergeCell ref="F36:G36"/>
    <mergeCell ref="D37:E37"/>
    <mergeCell ref="F37:G37"/>
    <mergeCell ref="D38:E38"/>
    <mergeCell ref="F38:G38"/>
    <mergeCell ref="H36:I36"/>
    <mergeCell ref="J36:K36"/>
    <mergeCell ref="H38:I38"/>
    <mergeCell ref="J38:K38"/>
    <mergeCell ref="D40:E40"/>
    <mergeCell ref="F40:G40"/>
    <mergeCell ref="H40:I40"/>
    <mergeCell ref="J40:K40"/>
    <mergeCell ref="D42:E42"/>
    <mergeCell ref="F42:G42"/>
    <mergeCell ref="H42:I42"/>
    <mergeCell ref="J42:K42"/>
    <mergeCell ref="D44:E44"/>
    <mergeCell ref="F44:G44"/>
    <mergeCell ref="H44:I44"/>
    <mergeCell ref="J44:K44"/>
    <mergeCell ref="B36:C36"/>
    <mergeCell ref="B39:C39"/>
    <mergeCell ref="B40:C40"/>
    <mergeCell ref="B41:C41"/>
    <mergeCell ref="B42:C42"/>
    <mergeCell ref="B43:C43"/>
    <mergeCell ref="B44:C44"/>
    <mergeCell ref="AS1:AT1"/>
    <mergeCell ref="AI2:AK2"/>
    <mergeCell ref="AL2:AN2"/>
    <mergeCell ref="AI1:AN1"/>
    <mergeCell ref="B1:C1"/>
    <mergeCell ref="D1:E1"/>
    <mergeCell ref="F1:G1"/>
    <mergeCell ref="H1:I1"/>
    <mergeCell ref="R1:S1"/>
    <mergeCell ref="J1:K1"/>
    <mergeCell ref="AO1:AP1"/>
    <mergeCell ref="AQ1:AR1"/>
    <mergeCell ref="Z1:AA1"/>
    <mergeCell ref="AB1:AC1"/>
    <mergeCell ref="AD1:AE1"/>
    <mergeCell ref="AG1:AG2"/>
    <mergeCell ref="AD36:AE36"/>
    <mergeCell ref="H37:I37"/>
    <mergeCell ref="AH1:AH2"/>
    <mergeCell ref="T1:U1"/>
    <mergeCell ref="V1:W1"/>
    <mergeCell ref="X1:Y1"/>
    <mergeCell ref="L1:M1"/>
    <mergeCell ref="N1:O1"/>
    <mergeCell ref="P1:Q1"/>
    <mergeCell ref="B37:C37"/>
    <mergeCell ref="B38:C38"/>
    <mergeCell ref="J37:K37"/>
    <mergeCell ref="L37:M37"/>
    <mergeCell ref="N37:O37"/>
    <mergeCell ref="P37:Q37"/>
    <mergeCell ref="R37:S37"/>
    <mergeCell ref="T37:U37"/>
    <mergeCell ref="V37:W37"/>
    <mergeCell ref="X37:Y37"/>
    <mergeCell ref="Z37:AA37"/>
    <mergeCell ref="AB37:AC37"/>
    <mergeCell ref="AD37:AE37"/>
    <mergeCell ref="L36:M36"/>
    <mergeCell ref="N36:O36"/>
    <mergeCell ref="P36:Q36"/>
    <mergeCell ref="R36:S36"/>
  </mergeCells>
  <phoneticPr fontId="0" type="noConversion"/>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80808"/>
  </sheetPr>
  <dimension ref="A1:Z45"/>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28515625" style="39" bestFit="1" customWidth="1"/>
    <col min="2" max="6" width="9" style="39" customWidth="1"/>
    <col min="7" max="16" width="9.140625" style="39"/>
    <col min="17" max="17" width="2.85546875" style="39" customWidth="1"/>
    <col min="18" max="18" width="38.28515625" style="39" bestFit="1" customWidth="1"/>
    <col min="19" max="19" width="4.42578125" style="39" customWidth="1"/>
    <col min="20" max="20" width="7.140625" style="39" customWidth="1"/>
    <col min="21" max="21" width="3.5703125" style="39" customWidth="1"/>
    <col min="22" max="24" width="7.140625" style="39" customWidth="1"/>
    <col min="25" max="16384" width="9.140625" style="39"/>
  </cols>
  <sheetData>
    <row r="1" spans="1:26" ht="13.5" thickBot="1" x14ac:dyDescent="0.25">
      <c r="A1" s="60" t="s">
        <v>18</v>
      </c>
      <c r="B1" s="36">
        <v>1</v>
      </c>
      <c r="C1" s="37">
        <v>2</v>
      </c>
      <c r="D1" s="37">
        <v>3</v>
      </c>
      <c r="E1" s="37">
        <v>4</v>
      </c>
      <c r="F1" s="37">
        <v>5</v>
      </c>
      <c r="G1" s="37">
        <v>6</v>
      </c>
      <c r="H1" s="37">
        <v>7</v>
      </c>
      <c r="I1" s="37">
        <v>8</v>
      </c>
      <c r="J1" s="37">
        <v>9</v>
      </c>
      <c r="K1" s="37">
        <v>10</v>
      </c>
      <c r="L1" s="37">
        <v>11</v>
      </c>
      <c r="M1" s="37">
        <v>12</v>
      </c>
      <c r="N1" s="37">
        <v>13</v>
      </c>
      <c r="O1" s="37">
        <v>14</v>
      </c>
      <c r="P1" s="38">
        <v>15</v>
      </c>
      <c r="R1" s="131" t="s">
        <v>18</v>
      </c>
      <c r="S1" s="99" t="s">
        <v>2</v>
      </c>
      <c r="T1" s="165" t="s">
        <v>19</v>
      </c>
      <c r="U1" s="165"/>
      <c r="V1" s="165"/>
      <c r="W1" s="99" t="s">
        <v>0</v>
      </c>
      <c r="X1" s="99" t="s">
        <v>1</v>
      </c>
    </row>
    <row r="2" spans="1:26" ht="13.5" thickBot="1" x14ac:dyDescent="0.25">
      <c r="A2" s="40" t="s">
        <v>4</v>
      </c>
      <c r="B2" s="41">
        <v>78.5</v>
      </c>
      <c r="C2" s="42"/>
      <c r="D2" s="42"/>
      <c r="E2" s="42"/>
      <c r="F2" s="42"/>
      <c r="G2" s="42"/>
      <c r="H2" s="42"/>
      <c r="I2" s="42"/>
      <c r="J2" s="42"/>
      <c r="K2" s="132"/>
      <c r="L2" s="132"/>
      <c r="M2" s="132"/>
      <c r="N2" s="132"/>
      <c r="O2" s="132"/>
      <c r="P2" s="112"/>
      <c r="R2" s="126" t="str">
        <f>A2</f>
        <v>Diameter of egg without processes</v>
      </c>
      <c r="S2" s="127">
        <f>COUNTA(B2:P2)</f>
        <v>1</v>
      </c>
      <c r="T2" s="128">
        <f>IF(SUM(B2:P2)&gt;0,MIN(B2:P2),"")</f>
        <v>78.5</v>
      </c>
      <c r="U2" s="129" t="str">
        <f>IF(COUNT(T2)&gt;0,"–","?")</f>
        <v>–</v>
      </c>
      <c r="V2" s="130">
        <f>IF(SUM(B2:P2)&gt;0,MAX(B2:P2),"")</f>
        <v>78.5</v>
      </c>
      <c r="W2" s="129">
        <f>IF(SUM(B2:P2)&gt;0,AVERAGE(B2:P2),"?")</f>
        <v>78.5</v>
      </c>
      <c r="X2" s="129" t="str">
        <f>IF(COUNT(B2:P2)&gt;1,STDEV(B2:P2),"?")</f>
        <v>?</v>
      </c>
    </row>
    <row r="3" spans="1:26" ht="13.5" thickBot="1" x14ac:dyDescent="0.25">
      <c r="A3" s="40" t="s">
        <v>5</v>
      </c>
      <c r="B3" s="41">
        <v>105.3</v>
      </c>
      <c r="C3" s="42"/>
      <c r="D3" s="42"/>
      <c r="E3" s="42"/>
      <c r="F3" s="42"/>
      <c r="G3" s="42"/>
      <c r="H3" s="42"/>
      <c r="I3" s="42"/>
      <c r="J3" s="42"/>
      <c r="K3" s="132"/>
      <c r="L3" s="132"/>
      <c r="M3" s="132"/>
      <c r="N3" s="132"/>
      <c r="O3" s="132"/>
      <c r="P3" s="112"/>
      <c r="R3" s="31" t="str">
        <f>A3</f>
        <v>Diameter of egg with processes</v>
      </c>
      <c r="S3" s="21">
        <f>COUNTA(B3:P3)</f>
        <v>1</v>
      </c>
      <c r="T3" s="13">
        <f>IF(SUM(B3:P3)&gt;0,MIN(B3:P3),"")</f>
        <v>105.3</v>
      </c>
      <c r="U3" s="14" t="str">
        <f t="shared" ref="U3:U9" si="0">IF(COUNT(T3)&gt;0,"–","?")</f>
        <v>–</v>
      </c>
      <c r="V3" s="15">
        <f>IF(SUM(B3:P3)&gt;0,MAX(B3:P3),"")</f>
        <v>105.3</v>
      </c>
      <c r="W3" s="14">
        <f>IF(SUM(B3:P3)&gt;0,AVERAGE(B3:P3),"?")</f>
        <v>105.3</v>
      </c>
      <c r="X3" s="14" t="str">
        <f>IF(COUNT(B3:P3)&gt;1,STDEV(B3:P3),"?")</f>
        <v>?</v>
      </c>
    </row>
    <row r="4" spans="1:26" x14ac:dyDescent="0.2">
      <c r="A4" s="43" t="s">
        <v>27</v>
      </c>
      <c r="B4" s="44">
        <v>12.8</v>
      </c>
      <c r="C4" s="45"/>
      <c r="D4" s="45"/>
      <c r="E4" s="45"/>
      <c r="F4" s="45"/>
      <c r="G4" s="45"/>
      <c r="H4" s="45"/>
      <c r="I4" s="45"/>
      <c r="J4" s="45"/>
      <c r="K4" s="133"/>
      <c r="L4" s="133"/>
      <c r="M4" s="133"/>
      <c r="N4" s="133"/>
      <c r="O4" s="133"/>
      <c r="P4" s="113"/>
      <c r="R4" s="31" t="str">
        <f>A4</f>
        <v>Process height</v>
      </c>
      <c r="S4" s="21">
        <f>COUNTA(B4:P6)</f>
        <v>3</v>
      </c>
      <c r="T4" s="13">
        <f>IF(SUM(B4:P6)&gt;0,MIN(B4:P6),"")</f>
        <v>11.8</v>
      </c>
      <c r="U4" s="14" t="str">
        <f t="shared" si="0"/>
        <v>–</v>
      </c>
      <c r="V4" s="15">
        <f>IF(SUM(B4:P6)&gt;0,MAX(B4:P6),"")</f>
        <v>13.3</v>
      </c>
      <c r="W4" s="14">
        <f>IF(SUM(B4:P6)&gt;0,AVERAGE(B4:P6),"?")</f>
        <v>12.633333333333335</v>
      </c>
      <c r="X4" s="14">
        <f>IF(COUNT(B4:P6)&gt;1,STDEV(B4:P6),"?")</f>
        <v>0.76376261582597327</v>
      </c>
    </row>
    <row r="5" spans="1:26" x14ac:dyDescent="0.2">
      <c r="A5" s="46"/>
      <c r="B5" s="47">
        <v>13.3</v>
      </c>
      <c r="C5" s="48"/>
      <c r="D5" s="48"/>
      <c r="E5" s="48"/>
      <c r="F5" s="48"/>
      <c r="G5" s="48"/>
      <c r="H5" s="48"/>
      <c r="I5" s="48"/>
      <c r="J5" s="48"/>
      <c r="K5" s="134"/>
      <c r="L5" s="134"/>
      <c r="M5" s="134"/>
      <c r="N5" s="134"/>
      <c r="O5" s="134"/>
      <c r="P5" s="114"/>
      <c r="R5" s="31" t="str">
        <f>A7</f>
        <v>Process base width</v>
      </c>
      <c r="S5" s="21">
        <f>COUNTA(B7:P9)</f>
        <v>3</v>
      </c>
      <c r="T5" s="13">
        <f>IF(SUM(B7:P9)&gt;0,MIN(B7:P9),"")</f>
        <v>8.1999999999999993</v>
      </c>
      <c r="U5" s="14" t="str">
        <f t="shared" si="0"/>
        <v>–</v>
      </c>
      <c r="V5" s="15">
        <f>IF(SUM(B7:P9)&gt;0,MAX(B7:P9),"")</f>
        <v>8.6</v>
      </c>
      <c r="W5" s="14">
        <f>IF(SUM(B7:P9)&gt;0,AVERAGE(B7:P9),"?")</f>
        <v>8.3666666666666654</v>
      </c>
      <c r="X5" s="14">
        <f>IF(COUNT(B7:P9)&gt;1,STDEV(B7:P9),"?")</f>
        <v>0.20816659994661324</v>
      </c>
      <c r="Z5" s="57"/>
    </row>
    <row r="6" spans="1:26" ht="13.5" thickBot="1" x14ac:dyDescent="0.25">
      <c r="A6" s="49"/>
      <c r="B6" s="50">
        <v>11.8</v>
      </c>
      <c r="C6" s="51"/>
      <c r="D6" s="51"/>
      <c r="E6" s="51"/>
      <c r="F6" s="51"/>
      <c r="G6" s="51"/>
      <c r="H6" s="51"/>
      <c r="I6" s="51"/>
      <c r="J6" s="51"/>
      <c r="K6" s="135"/>
      <c r="L6" s="135"/>
      <c r="M6" s="135"/>
      <c r="N6" s="135"/>
      <c r="O6" s="135"/>
      <c r="P6" s="115"/>
      <c r="R6" s="31" t="str">
        <f>A10</f>
        <v>Process base/height ratio</v>
      </c>
      <c r="S6" s="21">
        <f>COUNT(B10:P12)</f>
        <v>3</v>
      </c>
      <c r="T6" s="119">
        <f>IF(SUM(B10:P12)&gt;0,MIN(B10:P12),"")</f>
        <v>0.64661654135338342</v>
      </c>
      <c r="U6" s="14" t="str">
        <f t="shared" si="0"/>
        <v>–</v>
      </c>
      <c r="V6" s="120">
        <f>IF(SUM(B10:P12)&gt;0,MAX(B10:P12),"")</f>
        <v>0.69491525423728806</v>
      </c>
      <c r="W6" s="121">
        <f>IF(SUM(B10:P12)&gt;0,AVERAGE(B10:P12),"?")</f>
        <v>0.66332309853022375</v>
      </c>
      <c r="X6" s="121">
        <f>IF(COUNT(B11:P12)&gt;1,STDEV(B11:P12),"?")</f>
        <v>3.4152347402791036E-2</v>
      </c>
    </row>
    <row r="7" spans="1:26" x14ac:dyDescent="0.2">
      <c r="A7" s="43" t="s">
        <v>28</v>
      </c>
      <c r="B7" s="44">
        <v>8.3000000000000007</v>
      </c>
      <c r="C7" s="45"/>
      <c r="D7" s="45"/>
      <c r="E7" s="45"/>
      <c r="F7" s="45"/>
      <c r="G7" s="45"/>
      <c r="H7" s="45"/>
      <c r="I7" s="45"/>
      <c r="J7" s="45"/>
      <c r="K7" s="133"/>
      <c r="L7" s="133"/>
      <c r="M7" s="133"/>
      <c r="N7" s="133"/>
      <c r="O7" s="133"/>
      <c r="P7" s="113"/>
      <c r="R7" s="31" t="str">
        <f>A13</f>
        <v>Terminal disc width</v>
      </c>
      <c r="S7" s="21">
        <f>COUNTA(B13:P15)</f>
        <v>3</v>
      </c>
      <c r="T7" s="13">
        <f>IF(SUM(B13:P15)&gt;0,MIN(B13:P15),"")</f>
        <v>6</v>
      </c>
      <c r="U7" s="14" t="str">
        <f t="shared" si="0"/>
        <v>–</v>
      </c>
      <c r="V7" s="15">
        <f>IF(SUM(B13:P15)&gt;0,MAX(B13:P15),"")</f>
        <v>6.6</v>
      </c>
      <c r="W7" s="14">
        <f>IF(SUM(B13:P15)&gt;0,AVERAGE(B13:P15),"?")</f>
        <v>6.2333333333333334</v>
      </c>
      <c r="X7" s="14">
        <f>IF(COUNT(B13:P15)&gt;1,STDEV(B13:P15),"?")</f>
        <v>0.32145502536643172</v>
      </c>
    </row>
    <row r="8" spans="1:26" x14ac:dyDescent="0.2">
      <c r="A8" s="46"/>
      <c r="B8" s="47">
        <v>8.6</v>
      </c>
      <c r="C8" s="48"/>
      <c r="D8" s="48"/>
      <c r="E8" s="48"/>
      <c r="F8" s="48"/>
      <c r="G8" s="48"/>
      <c r="H8" s="48"/>
      <c r="I8" s="48"/>
      <c r="J8" s="48"/>
      <c r="K8" s="134"/>
      <c r="L8" s="134"/>
      <c r="M8" s="134"/>
      <c r="N8" s="134"/>
      <c r="O8" s="134"/>
      <c r="P8" s="52"/>
      <c r="Q8" s="33"/>
      <c r="R8" s="31" t="str">
        <f>A16</f>
        <v>Distance between processes</v>
      </c>
      <c r="S8" s="21">
        <f>COUNTA(B16:P18)</f>
        <v>3</v>
      </c>
      <c r="T8" s="13">
        <f>IF(SUM(B16:P18)&gt;0,MIN(B16:P18),"")</f>
        <v>3.9</v>
      </c>
      <c r="U8" s="14" t="str">
        <f t="shared" si="0"/>
        <v>–</v>
      </c>
      <c r="V8" s="15">
        <f>IF(SUM(B16:P18)&gt;0,MAX(B16:P18),"")</f>
        <v>4.5999999999999996</v>
      </c>
      <c r="W8" s="14">
        <f>IF(SUM(B16:P18)&gt;0,AVERAGE(B16:P18),"?")</f>
        <v>4.333333333333333</v>
      </c>
      <c r="X8" s="14">
        <f>IF(COUNT(B16:P18)&gt;1,STDEV(B16:P18),"?")</f>
        <v>0.37859388972001817</v>
      </c>
    </row>
    <row r="9" spans="1:26" ht="13.5" thickBot="1" x14ac:dyDescent="0.25">
      <c r="A9" s="49"/>
      <c r="B9" s="50">
        <v>8.1999999999999993</v>
      </c>
      <c r="C9" s="51"/>
      <c r="D9" s="51"/>
      <c r="E9" s="51"/>
      <c r="F9" s="51"/>
      <c r="G9" s="51"/>
      <c r="H9" s="51"/>
      <c r="I9" s="51"/>
      <c r="J9" s="51"/>
      <c r="K9" s="135"/>
      <c r="L9" s="135"/>
      <c r="M9" s="135"/>
      <c r="N9" s="135"/>
      <c r="O9" s="135"/>
      <c r="P9" s="54"/>
      <c r="Q9" s="33"/>
      <c r="R9" s="122" t="str">
        <f>A19</f>
        <v>Number of processes on the egg circumference</v>
      </c>
      <c r="S9" s="123">
        <f>COUNTA(B19:P19)</f>
        <v>1</v>
      </c>
      <c r="T9" s="124">
        <f>IF(SUM(B19:P19)&gt;0,MIN(B19:P19),"")</f>
        <v>20</v>
      </c>
      <c r="U9" s="24" t="str">
        <f t="shared" si="0"/>
        <v>–</v>
      </c>
      <c r="V9" s="125">
        <f>IF(SUM(B19:P19)&gt;0,MAX(B19:P19),"")</f>
        <v>20</v>
      </c>
      <c r="W9" s="24">
        <f>IF(SUM(B19:P19)&gt;0,AVERAGE(B19:P19),"?")</f>
        <v>20</v>
      </c>
      <c r="X9" s="24" t="str">
        <f>IF(COUNT(B19:P19)&gt;1,STDEV(B19:P19),"?")</f>
        <v>?</v>
      </c>
    </row>
    <row r="10" spans="1:26" x14ac:dyDescent="0.2">
      <c r="A10" s="55" t="s">
        <v>14</v>
      </c>
      <c r="B10" s="91">
        <f>IF(AND((B7&gt;0),(B4&gt;0)),(B7/B4),"")</f>
        <v>0.6484375</v>
      </c>
      <c r="C10" s="92" t="str">
        <f t="shared" ref="C10:P10" si="1">IF(AND((C7&gt;0),(C4&gt;0)),(C7/C4),"")</f>
        <v/>
      </c>
      <c r="D10" s="92" t="str">
        <f t="shared" si="1"/>
        <v/>
      </c>
      <c r="E10" s="92" t="str">
        <f t="shared" si="1"/>
        <v/>
      </c>
      <c r="F10" s="92" t="str">
        <f t="shared" si="1"/>
        <v/>
      </c>
      <c r="G10" s="92" t="str">
        <f t="shared" si="1"/>
        <v/>
      </c>
      <c r="H10" s="92" t="str">
        <f t="shared" si="1"/>
        <v/>
      </c>
      <c r="I10" s="92" t="str">
        <f t="shared" si="1"/>
        <v/>
      </c>
      <c r="J10" s="92" t="str">
        <f t="shared" si="1"/>
        <v/>
      </c>
      <c r="K10" s="92" t="str">
        <f t="shared" ref="K10:O12" si="2">IF(AND((K7&gt;0),(K4&gt;0)),(K7/K4),"")</f>
        <v/>
      </c>
      <c r="L10" s="92" t="str">
        <f t="shared" si="2"/>
        <v/>
      </c>
      <c r="M10" s="92" t="str">
        <f t="shared" si="2"/>
        <v/>
      </c>
      <c r="N10" s="92" t="str">
        <f t="shared" si="2"/>
        <v/>
      </c>
      <c r="O10" s="92" t="str">
        <f t="shared" si="2"/>
        <v/>
      </c>
      <c r="P10" s="93" t="str">
        <f t="shared" si="1"/>
        <v/>
      </c>
      <c r="Q10" s="33"/>
    </row>
    <row r="11" spans="1:26" x14ac:dyDescent="0.2">
      <c r="A11" s="46"/>
      <c r="B11" s="94">
        <f>IF(AND((B8&gt;0),(B5&gt;0)),(B8/B5),"")</f>
        <v>0.64661654135338342</v>
      </c>
      <c r="C11" s="90" t="str">
        <f t="shared" ref="C11:P11" si="3">IF(AND((C8&gt;0),(C5&gt;0)),(C8/C5),"")</f>
        <v/>
      </c>
      <c r="D11" s="90" t="str">
        <f t="shared" si="3"/>
        <v/>
      </c>
      <c r="E11" s="90" t="str">
        <f t="shared" si="3"/>
        <v/>
      </c>
      <c r="F11" s="90" t="str">
        <f t="shared" si="3"/>
        <v/>
      </c>
      <c r="G11" s="90" t="str">
        <f t="shared" si="3"/>
        <v/>
      </c>
      <c r="H11" s="90" t="str">
        <f t="shared" si="3"/>
        <v/>
      </c>
      <c r="I11" s="90" t="str">
        <f t="shared" si="3"/>
        <v/>
      </c>
      <c r="J11" s="90" t="str">
        <f t="shared" si="3"/>
        <v/>
      </c>
      <c r="K11" s="90" t="str">
        <f t="shared" si="2"/>
        <v/>
      </c>
      <c r="L11" s="90" t="str">
        <f t="shared" si="2"/>
        <v/>
      </c>
      <c r="M11" s="90" t="str">
        <f t="shared" si="2"/>
        <v/>
      </c>
      <c r="N11" s="90" t="str">
        <f t="shared" si="2"/>
        <v/>
      </c>
      <c r="O11" s="90" t="str">
        <f t="shared" si="2"/>
        <v/>
      </c>
      <c r="P11" s="95" t="str">
        <f t="shared" si="3"/>
        <v/>
      </c>
      <c r="Q11" s="33"/>
    </row>
    <row r="12" spans="1:26" ht="13.5" thickBot="1" x14ac:dyDescent="0.25">
      <c r="A12" s="49"/>
      <c r="B12" s="96">
        <f>IF(AND((B9&gt;0),(B6&gt;0)),(B9/B6),"")</f>
        <v>0.69491525423728806</v>
      </c>
      <c r="C12" s="97" t="str">
        <f t="shared" ref="C12:P12" si="4">IF(AND((C9&gt;0),(C6&gt;0)),(C9/C6),"")</f>
        <v/>
      </c>
      <c r="D12" s="97" t="str">
        <f t="shared" si="4"/>
        <v/>
      </c>
      <c r="E12" s="97" t="str">
        <f t="shared" si="4"/>
        <v/>
      </c>
      <c r="F12" s="97" t="str">
        <f t="shared" si="4"/>
        <v/>
      </c>
      <c r="G12" s="97" t="str">
        <f t="shared" si="4"/>
        <v/>
      </c>
      <c r="H12" s="97" t="str">
        <f t="shared" si="4"/>
        <v/>
      </c>
      <c r="I12" s="97" t="str">
        <f t="shared" si="4"/>
        <v/>
      </c>
      <c r="J12" s="97" t="str">
        <f t="shared" si="4"/>
        <v/>
      </c>
      <c r="K12" s="97" t="str">
        <f t="shared" si="2"/>
        <v/>
      </c>
      <c r="L12" s="97" t="str">
        <f t="shared" si="2"/>
        <v/>
      </c>
      <c r="M12" s="97" t="str">
        <f t="shared" si="2"/>
        <v/>
      </c>
      <c r="N12" s="97" t="str">
        <f t="shared" si="2"/>
        <v/>
      </c>
      <c r="O12" s="97" t="str">
        <f t="shared" si="2"/>
        <v/>
      </c>
      <c r="P12" s="98" t="str">
        <f t="shared" si="4"/>
        <v/>
      </c>
      <c r="Q12" s="33"/>
    </row>
    <row r="13" spans="1:26" x14ac:dyDescent="0.2">
      <c r="A13" s="55" t="s">
        <v>17</v>
      </c>
      <c r="B13" s="44">
        <v>6.6</v>
      </c>
      <c r="C13" s="45"/>
      <c r="D13" s="45"/>
      <c r="E13" s="45"/>
      <c r="F13" s="45"/>
      <c r="G13" s="45"/>
      <c r="H13" s="45"/>
      <c r="I13" s="45"/>
      <c r="J13" s="45"/>
      <c r="K13" s="133"/>
      <c r="L13" s="133"/>
      <c r="M13" s="133"/>
      <c r="N13" s="133"/>
      <c r="O13" s="133"/>
      <c r="P13" s="56"/>
      <c r="Q13" s="57"/>
    </row>
    <row r="14" spans="1:26" x14ac:dyDescent="0.2">
      <c r="A14" s="46"/>
      <c r="B14" s="47">
        <v>6.1</v>
      </c>
      <c r="C14" s="48"/>
      <c r="D14" s="48"/>
      <c r="E14" s="48"/>
      <c r="F14" s="48"/>
      <c r="G14" s="48"/>
      <c r="H14" s="48"/>
      <c r="I14" s="48"/>
      <c r="J14" s="48"/>
      <c r="K14" s="134"/>
      <c r="L14" s="134"/>
      <c r="M14" s="134"/>
      <c r="N14" s="134"/>
      <c r="O14" s="134"/>
      <c r="P14" s="52"/>
      <c r="Q14" s="57"/>
      <c r="R14" s="57"/>
      <c r="S14" s="57"/>
      <c r="T14" s="57"/>
      <c r="U14" s="57"/>
    </row>
    <row r="15" spans="1:26" ht="13.5" thickBot="1" x14ac:dyDescent="0.25">
      <c r="A15" s="49"/>
      <c r="B15" s="50">
        <v>6</v>
      </c>
      <c r="C15" s="51"/>
      <c r="D15" s="51"/>
      <c r="E15" s="51"/>
      <c r="F15" s="51"/>
      <c r="G15" s="51"/>
      <c r="H15" s="51"/>
      <c r="I15" s="51"/>
      <c r="J15" s="51"/>
      <c r="K15" s="135"/>
      <c r="L15" s="135"/>
      <c r="M15" s="135"/>
      <c r="N15" s="135"/>
      <c r="O15" s="135"/>
      <c r="P15" s="54"/>
      <c r="Q15" s="57"/>
      <c r="R15" s="57"/>
      <c r="S15" s="57"/>
      <c r="T15" s="57"/>
      <c r="U15" s="57"/>
    </row>
    <row r="16" spans="1:26" x14ac:dyDescent="0.2">
      <c r="A16" s="55" t="s">
        <v>9</v>
      </c>
      <c r="B16" s="44">
        <v>3.9</v>
      </c>
      <c r="C16" s="45"/>
      <c r="D16" s="45"/>
      <c r="E16" s="45"/>
      <c r="F16" s="45"/>
      <c r="G16" s="45"/>
      <c r="H16" s="45"/>
      <c r="I16" s="45"/>
      <c r="J16" s="45"/>
      <c r="K16" s="133"/>
      <c r="L16" s="133"/>
      <c r="M16" s="133"/>
      <c r="N16" s="133"/>
      <c r="O16" s="133"/>
      <c r="P16" s="56"/>
      <c r="Q16" s="33"/>
      <c r="R16" s="53"/>
      <c r="S16" s="53"/>
      <c r="T16" s="2"/>
      <c r="U16" s="2"/>
    </row>
    <row r="17" spans="1:21" x14ac:dyDescent="0.2">
      <c r="A17" s="46"/>
      <c r="B17" s="47">
        <v>4.5999999999999996</v>
      </c>
      <c r="C17" s="48"/>
      <c r="D17" s="48"/>
      <c r="E17" s="48"/>
      <c r="F17" s="48"/>
      <c r="G17" s="48"/>
      <c r="H17" s="48"/>
      <c r="I17" s="48"/>
      <c r="J17" s="48"/>
      <c r="K17" s="134"/>
      <c r="L17" s="134"/>
      <c r="M17" s="134"/>
      <c r="N17" s="134"/>
      <c r="O17" s="134"/>
      <c r="P17" s="52"/>
      <c r="Q17" s="33"/>
      <c r="R17" s="53"/>
      <c r="S17" s="53"/>
      <c r="T17" s="2"/>
      <c r="U17" s="2"/>
    </row>
    <row r="18" spans="1:21" ht="13.5" thickBot="1" x14ac:dyDescent="0.25">
      <c r="A18" s="49"/>
      <c r="B18" s="50">
        <v>4.5</v>
      </c>
      <c r="C18" s="51"/>
      <c r="D18" s="51"/>
      <c r="E18" s="51"/>
      <c r="F18" s="51"/>
      <c r="G18" s="51"/>
      <c r="H18" s="51"/>
      <c r="I18" s="51"/>
      <c r="J18" s="51"/>
      <c r="K18" s="135"/>
      <c r="L18" s="135"/>
      <c r="M18" s="135"/>
      <c r="N18" s="135"/>
      <c r="O18" s="135"/>
      <c r="P18" s="54"/>
      <c r="Q18" s="33"/>
      <c r="R18" s="53"/>
      <c r="S18" s="53"/>
      <c r="T18" s="2"/>
      <c r="U18" s="2"/>
    </row>
    <row r="19" spans="1:21" ht="13.5" thickBot="1" x14ac:dyDescent="0.25">
      <c r="A19" s="58" t="s">
        <v>26</v>
      </c>
      <c r="B19" s="116">
        <v>20</v>
      </c>
      <c r="C19" s="117"/>
      <c r="D19" s="117"/>
      <c r="E19" s="117"/>
      <c r="F19" s="117"/>
      <c r="G19" s="117"/>
      <c r="H19" s="117"/>
      <c r="I19" s="117"/>
      <c r="J19" s="117"/>
      <c r="K19" s="136"/>
      <c r="L19" s="136"/>
      <c r="M19" s="136"/>
      <c r="N19" s="136"/>
      <c r="O19" s="136"/>
      <c r="P19" s="118"/>
      <c r="Q19" s="57"/>
      <c r="R19" s="57"/>
      <c r="S19" s="57"/>
      <c r="T19" s="57"/>
      <c r="U19" s="57"/>
    </row>
    <row r="20" spans="1:21" x14ac:dyDescent="0.2">
      <c r="A20" s="59"/>
    </row>
    <row r="30" spans="1:21" x14ac:dyDescent="0.2">
      <c r="A30" s="57"/>
    </row>
    <row r="31" spans="1:21" x14ac:dyDescent="0.2">
      <c r="A31" s="57"/>
    </row>
    <row r="33" spans="1:1" x14ac:dyDescent="0.2">
      <c r="A33" s="57"/>
    </row>
    <row r="34" spans="1:1" x14ac:dyDescent="0.2">
      <c r="A34" s="2"/>
    </row>
    <row r="35" spans="1:1" x14ac:dyDescent="0.2">
      <c r="A35" s="2"/>
    </row>
    <row r="36" spans="1:1" x14ac:dyDescent="0.2">
      <c r="A36" s="57"/>
    </row>
    <row r="37" spans="1:1" x14ac:dyDescent="0.2">
      <c r="A37" s="57"/>
    </row>
    <row r="38" spans="1:1" x14ac:dyDescent="0.2">
      <c r="A38" s="2"/>
    </row>
    <row r="39" spans="1:1" x14ac:dyDescent="0.2">
      <c r="A39" s="57"/>
    </row>
    <row r="40" spans="1:1" x14ac:dyDescent="0.2">
      <c r="A40" s="57"/>
    </row>
    <row r="41" spans="1:1" x14ac:dyDescent="0.2">
      <c r="A41" s="2"/>
    </row>
    <row r="42" spans="1:1" x14ac:dyDescent="0.2">
      <c r="A42" s="57"/>
    </row>
    <row r="43" spans="1:1" x14ac:dyDescent="0.2">
      <c r="A43" s="57"/>
    </row>
    <row r="44" spans="1:1" x14ac:dyDescent="0.2">
      <c r="A44" s="57"/>
    </row>
    <row r="45" spans="1:1" x14ac:dyDescent="0.2">
      <c r="A45" s="2"/>
    </row>
  </sheetData>
  <mergeCells count="1">
    <mergeCell ref="T1:V1"/>
  </mergeCells>
  <phoneticPr fontId="0" type="noConversion"/>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AD9"/>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RowHeight="12.75" x14ac:dyDescent="0.2"/>
  <cols>
    <col min="1" max="1" width="19" style="109" bestFit="1" customWidth="1"/>
    <col min="2" max="2" width="11.5703125" style="144" bestFit="1" customWidth="1"/>
    <col min="3" max="3" width="9.140625" style="110"/>
    <col min="4" max="30" width="17" style="111" customWidth="1"/>
    <col min="31" max="16384" width="9.140625" style="108"/>
  </cols>
  <sheetData>
    <row r="1" spans="1:30" s="103" customFormat="1" ht="25.5" x14ac:dyDescent="0.2">
      <c r="A1" s="100" t="s">
        <v>90</v>
      </c>
      <c r="B1" s="142" t="s">
        <v>91</v>
      </c>
      <c r="C1" s="101" t="s">
        <v>62</v>
      </c>
      <c r="D1" s="102" t="s">
        <v>25</v>
      </c>
      <c r="E1" s="102" t="s">
        <v>63</v>
      </c>
      <c r="F1" s="102" t="s">
        <v>64</v>
      </c>
      <c r="G1" s="102" t="s">
        <v>65</v>
      </c>
      <c r="H1" s="102" t="s">
        <v>66</v>
      </c>
      <c r="I1" s="102" t="s">
        <v>67</v>
      </c>
      <c r="J1" s="102" t="s">
        <v>68</v>
      </c>
      <c r="K1" s="102" t="s">
        <v>69</v>
      </c>
      <c r="L1" s="102" t="s">
        <v>70</v>
      </c>
      <c r="M1" s="102" t="s">
        <v>71</v>
      </c>
      <c r="N1" s="102" t="s">
        <v>72</v>
      </c>
      <c r="O1" s="102" t="s">
        <v>78</v>
      </c>
      <c r="P1" s="102" t="s">
        <v>79</v>
      </c>
      <c r="Q1" s="102" t="s">
        <v>80</v>
      </c>
      <c r="R1" s="102" t="s">
        <v>81</v>
      </c>
      <c r="S1" s="102" t="s">
        <v>82</v>
      </c>
      <c r="T1" s="102" t="s">
        <v>83</v>
      </c>
      <c r="U1" s="102" t="s">
        <v>84</v>
      </c>
      <c r="V1" s="102" t="s">
        <v>85</v>
      </c>
      <c r="W1" s="102" t="s">
        <v>86</v>
      </c>
      <c r="X1" s="102" t="s">
        <v>87</v>
      </c>
      <c r="Y1" s="102" t="s">
        <v>88</v>
      </c>
      <c r="Z1" s="102" t="s">
        <v>89</v>
      </c>
      <c r="AA1" s="102" t="s">
        <v>73</v>
      </c>
      <c r="AB1" s="102" t="s">
        <v>74</v>
      </c>
      <c r="AC1" s="102" t="s">
        <v>75</v>
      </c>
      <c r="AD1" s="102" t="s">
        <v>76</v>
      </c>
    </row>
    <row r="2" spans="1:30" x14ac:dyDescent="0.2">
      <c r="A2" s="100" t="s">
        <v>98</v>
      </c>
      <c r="B2" s="142" t="s">
        <v>99</v>
      </c>
      <c r="C2" s="104" t="str">
        <f>individuals!B1</f>
        <v>NZ157 (HOL)</v>
      </c>
      <c r="D2" s="105">
        <f>IF(individuals!B3&gt;0,individuals!B3,"")</f>
        <v>612</v>
      </c>
      <c r="E2" s="106">
        <f>IF(individuals!B5&gt;0,individuals!B5,"")</f>
        <v>47.7</v>
      </c>
      <c r="F2" s="106">
        <f>IF(individuals!B6&gt;0,individuals!B6,"")</f>
        <v>37.799999999999997</v>
      </c>
      <c r="G2" s="106">
        <f>IF(individuals!B7&gt;0,individuals!B7,"")</f>
        <v>6.7</v>
      </c>
      <c r="H2" s="107">
        <f>IF(individuals!B8&gt;0,individuals!B8,"")</f>
        <v>4.4000000000000004</v>
      </c>
      <c r="I2" s="106">
        <f>IF(individuals!B9&gt;0,individuals!B9,"")</f>
        <v>29.3</v>
      </c>
      <c r="J2" s="106">
        <f>IF(individuals!B11&gt;0,individuals!B11,"")</f>
        <v>13.1</v>
      </c>
      <c r="K2" s="107">
        <f>IF(individuals!B12&gt;0,individuals!B12,"")</f>
        <v>8.6</v>
      </c>
      <c r="L2" s="107">
        <f>IF(individuals!B13&gt;0,individuals!B13,"")</f>
        <v>3.2</v>
      </c>
      <c r="M2" s="106">
        <f>IF(individuals!B14&gt;0,individuals!B14,"")</f>
        <v>24.4</v>
      </c>
      <c r="N2" s="106">
        <f>IF(individuals!B15&gt;0,individuals!B15,"")</f>
        <v>29.7</v>
      </c>
      <c r="O2" s="106">
        <f>IF(individuals!B17&gt;0,individuals!B17,"")</f>
        <v>12.6</v>
      </c>
      <c r="P2" s="106">
        <f>IF(individuals!B18&gt;0,individuals!B18,"")</f>
        <v>8.6</v>
      </c>
      <c r="Q2" s="106">
        <f>IF(individuals!B19&gt;0,individuals!B19,"")</f>
        <v>10.9</v>
      </c>
      <c r="R2" s="106">
        <f>IF(individuals!B20&gt;0,individuals!B20,"")</f>
        <v>7</v>
      </c>
      <c r="S2" s="106">
        <f>IF(individuals!B22&gt;0,individuals!B22,"")</f>
        <v>12.5</v>
      </c>
      <c r="T2" s="106" t="str">
        <f>IF(individuals!B23&gt;0,individuals!B23,"")</f>
        <v/>
      </c>
      <c r="U2" s="106">
        <f>IF(individuals!B24&gt;0,individuals!B24,"")</f>
        <v>11.5</v>
      </c>
      <c r="V2" s="106" t="str">
        <f>IF(individuals!B25&gt;0,individuals!B25,"")</f>
        <v/>
      </c>
      <c r="W2" s="106">
        <f>IF(individuals!B27&gt;0,individuals!B27,"")</f>
        <v>13</v>
      </c>
      <c r="X2" s="106" t="str">
        <f>IF(individuals!B28&gt;0,individuals!B28,"")</f>
        <v/>
      </c>
      <c r="Y2" s="106">
        <f>IF(individuals!B29&gt;0,individuals!B29,"")</f>
        <v>12</v>
      </c>
      <c r="Z2" s="106" t="str">
        <f>IF(individuals!B30&gt;0,individuals!B30,"")</f>
        <v/>
      </c>
      <c r="AA2" s="106">
        <f>IF(individuals!B32&gt;0,individuals!B32,"")</f>
        <v>14.9</v>
      </c>
      <c r="AB2" s="106">
        <f>IF(individuals!B33&gt;0,individuals!B33,"")</f>
        <v>12.9</v>
      </c>
      <c r="AC2" s="106">
        <f>IF(individuals!B34&gt;0,individuals!B34,"")</f>
        <v>15.5</v>
      </c>
      <c r="AD2" s="106">
        <f>IF(individuals!B35&gt;0,individuals!B35,"")</f>
        <v>14.4</v>
      </c>
    </row>
    <row r="3" spans="1:30" x14ac:dyDescent="0.2">
      <c r="A3" s="100" t="str">
        <f>A$2</f>
        <v>Macrobiotus horningi</v>
      </c>
      <c r="B3" s="143" t="str">
        <f>B$2</f>
        <v>New Zealand</v>
      </c>
      <c r="C3" s="104" t="str">
        <f>individuals!D1</f>
        <v>NZ152</v>
      </c>
      <c r="D3" s="105" t="str">
        <f>IF(individuals!D3&gt;0,individuals!D3,"")</f>
        <v/>
      </c>
      <c r="E3" s="106">
        <f>IF(individuals!D5&gt;0,individuals!D5,"")</f>
        <v>38.299999999999997</v>
      </c>
      <c r="F3" s="106">
        <f>IF(individuals!D6&gt;0,individuals!D6,"")</f>
        <v>29.6</v>
      </c>
      <c r="G3" s="106">
        <f>IF(individuals!D7&gt;0,individuals!D7,"")</f>
        <v>5.4</v>
      </c>
      <c r="H3" s="107">
        <f>IF(individuals!D8&gt;0,individuals!D8,"")</f>
        <v>4.4000000000000004</v>
      </c>
      <c r="I3" s="106">
        <f>IF(individuals!D9&gt;0,individuals!D9,"")</f>
        <v>24.8</v>
      </c>
      <c r="J3" s="106">
        <f>IF(individuals!D11&gt;0,individuals!D11,"")</f>
        <v>10.4</v>
      </c>
      <c r="K3" s="107">
        <f>IF(individuals!D12&gt;0,individuals!D12,"")</f>
        <v>6.5</v>
      </c>
      <c r="L3" s="107">
        <f>IF(individuals!D13&gt;0,individuals!D13,"")</f>
        <v>3</v>
      </c>
      <c r="M3" s="106">
        <f>IF(individuals!D14&gt;0,individuals!D14,"")</f>
        <v>19.600000000000001</v>
      </c>
      <c r="N3" s="106">
        <f>IF(individuals!D15&gt;0,individuals!D15,"")</f>
        <v>24</v>
      </c>
      <c r="O3" s="106">
        <f>IF(individuals!D17&gt;0,individuals!D17,"")</f>
        <v>9</v>
      </c>
      <c r="P3" s="106" t="str">
        <f>IF(individuals!D18&gt;0,individuals!D18,"")</f>
        <v/>
      </c>
      <c r="Q3" s="106">
        <f>IF(individuals!D19&gt;0,individuals!D19,"")</f>
        <v>8.4</v>
      </c>
      <c r="R3" s="106" t="str">
        <f>IF(individuals!D20&gt;0,individuals!D20,"")</f>
        <v/>
      </c>
      <c r="S3" s="106">
        <f>IF(individuals!D22&gt;0,individuals!D22,"")</f>
        <v>9</v>
      </c>
      <c r="T3" s="106" t="str">
        <f>IF(individuals!D23&gt;0,individuals!D23,"")</f>
        <v/>
      </c>
      <c r="U3" s="106">
        <f>IF(individuals!D24&gt;0,individuals!D24,"")</f>
        <v>8</v>
      </c>
      <c r="V3" s="106" t="str">
        <f>IF(individuals!D25&gt;0,individuals!D25,"")</f>
        <v/>
      </c>
      <c r="W3" s="106">
        <f>IF(individuals!D27&gt;0,individuals!D27,"")</f>
        <v>9.3000000000000007</v>
      </c>
      <c r="X3" s="106" t="str">
        <f>IF(individuals!D28&gt;0,individuals!D28,"")</f>
        <v/>
      </c>
      <c r="Y3" s="106">
        <f>IF(individuals!D29&gt;0,individuals!D29,"")</f>
        <v>9</v>
      </c>
      <c r="Z3" s="106" t="str">
        <f>IF(individuals!D30&gt;0,individuals!D30,"")</f>
        <v/>
      </c>
      <c r="AA3" s="106" t="str">
        <f>IF(individuals!D32&gt;0,individuals!D32,"")</f>
        <v/>
      </c>
      <c r="AB3" s="106" t="str">
        <f>IF(individuals!D33&gt;0,individuals!D33,"")</f>
        <v/>
      </c>
      <c r="AC3" s="106" t="str">
        <f>IF(individuals!D34&gt;0,individuals!D34,"")</f>
        <v/>
      </c>
      <c r="AD3" s="106" t="str">
        <f>IF(individuals!D35&gt;0,individuals!D35,"")</f>
        <v/>
      </c>
    </row>
    <row r="4" spans="1:30" x14ac:dyDescent="0.2">
      <c r="A4" s="100" t="str">
        <f t="shared" ref="A4:B9" si="0">A$2</f>
        <v>Macrobiotus horningi</v>
      </c>
      <c r="B4" s="143" t="str">
        <f t="shared" si="0"/>
        <v>New Zealand</v>
      </c>
      <c r="C4" s="104" t="str">
        <f>individuals!F1</f>
        <v>NZ166</v>
      </c>
      <c r="D4" s="105">
        <f>IF(individuals!F3&gt;0,individuals!F3,"")</f>
        <v>439</v>
      </c>
      <c r="E4" s="106">
        <f>IF(individuals!F5&gt;0,individuals!F5,"")</f>
        <v>37.700000000000003</v>
      </c>
      <c r="F4" s="106">
        <f>IF(individuals!F6&gt;0,individuals!F6,"")</f>
        <v>29.6</v>
      </c>
      <c r="G4" s="106">
        <f>IF(individuals!F7&gt;0,individuals!F7,"")</f>
        <v>5.7</v>
      </c>
      <c r="H4" s="107">
        <f>IF(individuals!F8&gt;0,individuals!F8,"")</f>
        <v>4.2</v>
      </c>
      <c r="I4" s="106">
        <f>IF(individuals!F9&gt;0,individuals!F9,"")</f>
        <v>23.8</v>
      </c>
      <c r="J4" s="106">
        <f>IF(individuals!F11&gt;0,individuals!F11,"")</f>
        <v>10.5</v>
      </c>
      <c r="K4" s="107">
        <f>IF(individuals!F12&gt;0,individuals!F12,"")</f>
        <v>6.5</v>
      </c>
      <c r="L4" s="107">
        <f>IF(individuals!F13&gt;0,individuals!F13,"")</f>
        <v>2.2000000000000002</v>
      </c>
      <c r="M4" s="106">
        <f>IF(individuals!F14&gt;0,individuals!F14,"")</f>
        <v>18</v>
      </c>
      <c r="N4" s="106">
        <f>IF(individuals!F15&gt;0,individuals!F15,"")</f>
        <v>21.7</v>
      </c>
      <c r="O4" s="106">
        <f>IF(individuals!F17&gt;0,individuals!F17,"")</f>
        <v>9.1999999999999993</v>
      </c>
      <c r="P4" s="106">
        <f>IF(individuals!F18&gt;0,individuals!F18,"")</f>
        <v>6.9</v>
      </c>
      <c r="Q4" s="106">
        <f>IF(individuals!F19&gt;0,individuals!F19,"")</f>
        <v>8</v>
      </c>
      <c r="R4" s="106">
        <f>IF(individuals!F20&gt;0,individuals!F20,"")</f>
        <v>7.4</v>
      </c>
      <c r="S4" s="106" t="str">
        <f>IF(individuals!F22&gt;0,individuals!F22,"")</f>
        <v/>
      </c>
      <c r="T4" s="106" t="str">
        <f>IF(individuals!F23&gt;0,individuals!F23,"")</f>
        <v/>
      </c>
      <c r="U4" s="106">
        <f>IF(individuals!F24&gt;0,individuals!F24,"")</f>
        <v>8.3000000000000007</v>
      </c>
      <c r="V4" s="106">
        <f>IF(individuals!F25&gt;0,individuals!F25,"")</f>
        <v>6.7</v>
      </c>
      <c r="W4" s="106">
        <f>IF(individuals!F27&gt;0,individuals!F27,"")</f>
        <v>9.1</v>
      </c>
      <c r="X4" s="106">
        <f>IF(individuals!F28&gt;0,individuals!F28,"")</f>
        <v>7.3</v>
      </c>
      <c r="Y4" s="106">
        <f>IF(individuals!F29&gt;0,individuals!F29,"")</f>
        <v>8.6</v>
      </c>
      <c r="Z4" s="106">
        <f>IF(individuals!F30&gt;0,individuals!F30,"")</f>
        <v>6.5</v>
      </c>
      <c r="AA4" s="106">
        <f>IF(individuals!F32&gt;0,individuals!F32,"")</f>
        <v>13.7</v>
      </c>
      <c r="AB4" s="106">
        <f>IF(individuals!F33&gt;0,individuals!F33,"")</f>
        <v>10.8</v>
      </c>
      <c r="AC4" s="106">
        <f>IF(individuals!F34&gt;0,individuals!F34,"")</f>
        <v>13.9</v>
      </c>
      <c r="AD4" s="106">
        <f>IF(individuals!F35&gt;0,individuals!F35,"")</f>
        <v>11.8</v>
      </c>
    </row>
    <row r="5" spans="1:30" x14ac:dyDescent="0.2">
      <c r="A5" s="100" t="str">
        <f t="shared" si="0"/>
        <v>Macrobiotus horningi</v>
      </c>
      <c r="B5" s="143" t="str">
        <f t="shared" si="0"/>
        <v>New Zealand</v>
      </c>
      <c r="C5" s="104" t="str">
        <f>individuals!H1</f>
        <v>NZ152</v>
      </c>
      <c r="D5" s="105">
        <f>IF(individuals!H3&gt;0,individuals!H3,"")</f>
        <v>267</v>
      </c>
      <c r="E5" s="106">
        <f>IF(individuals!H5&gt;0,individuals!H5,"")</f>
        <v>31.8</v>
      </c>
      <c r="F5" s="106">
        <f>IF(individuals!H6&gt;0,individuals!H6,"")</f>
        <v>25.5</v>
      </c>
      <c r="G5" s="106">
        <f>IF(individuals!H7&gt;0,individuals!H7,"")</f>
        <v>4.5999999999999996</v>
      </c>
      <c r="H5" s="107">
        <f>IF(individuals!H8&gt;0,individuals!H8,"")</f>
        <v>2.8</v>
      </c>
      <c r="I5" s="106">
        <f>IF(individuals!H9&gt;0,individuals!H9,"")</f>
        <v>20.399999999999999</v>
      </c>
      <c r="J5" s="106">
        <f>IF(individuals!H11&gt;0,individuals!H11,"")</f>
        <v>8.1999999999999993</v>
      </c>
      <c r="K5" s="107">
        <f>IF(individuals!H12&gt;0,individuals!H12,"")</f>
        <v>5.5</v>
      </c>
      <c r="L5" s="107">
        <f>IF(individuals!H13&gt;0,individuals!H13,"")</f>
        <v>2.2000000000000002</v>
      </c>
      <c r="M5" s="106">
        <f>IF(individuals!H14&gt;0,individuals!H14,"")</f>
        <v>15.7</v>
      </c>
      <c r="N5" s="106">
        <f>IF(individuals!H15&gt;0,individuals!H15,"")</f>
        <v>19.2</v>
      </c>
      <c r="O5" s="106" t="str">
        <f>IF(individuals!H17&gt;0,individuals!H17,"")</f>
        <v/>
      </c>
      <c r="P5" s="106" t="str">
        <f>IF(individuals!H18&gt;0,individuals!H18,"")</f>
        <v/>
      </c>
      <c r="Q5" s="106" t="str">
        <f>IF(individuals!H19&gt;0,individuals!H19,"")</f>
        <v/>
      </c>
      <c r="R5" s="106" t="str">
        <f>IF(individuals!H20&gt;0,individuals!H20,"")</f>
        <v/>
      </c>
      <c r="S5" s="106" t="str">
        <f>IF(individuals!H22&gt;0,individuals!H22,"")</f>
        <v/>
      </c>
      <c r="T5" s="106" t="str">
        <f>IF(individuals!H23&gt;0,individuals!H23,"")</f>
        <v/>
      </c>
      <c r="U5" s="106" t="str">
        <f>IF(individuals!H24&gt;0,individuals!H24,"")</f>
        <v/>
      </c>
      <c r="V5" s="106" t="str">
        <f>IF(individuals!H25&gt;0,individuals!H25,"")</f>
        <v/>
      </c>
      <c r="W5" s="106">
        <f>IF(individuals!H27&gt;0,individuals!H27,"")</f>
        <v>8.1999999999999993</v>
      </c>
      <c r="X5" s="106">
        <f>IF(individuals!H28&gt;0,individuals!H28,"")</f>
        <v>6.7</v>
      </c>
      <c r="Y5" s="106">
        <f>IF(individuals!H29&gt;0,individuals!H29,"")</f>
        <v>7.7</v>
      </c>
      <c r="Z5" s="106">
        <f>IF(individuals!H30&gt;0,individuals!H30,"")</f>
        <v>5.9</v>
      </c>
      <c r="AA5" s="106">
        <f>IF(individuals!H32&gt;0,individuals!H32,"")</f>
        <v>9</v>
      </c>
      <c r="AB5" s="106">
        <f>IF(individuals!H33&gt;0,individuals!H33,"")</f>
        <v>7.2</v>
      </c>
      <c r="AC5" s="106">
        <f>IF(individuals!H34&gt;0,individuals!H34,"")</f>
        <v>9.4</v>
      </c>
      <c r="AD5" s="106">
        <f>IF(individuals!H35&gt;0,individuals!H35,"")</f>
        <v>7.1</v>
      </c>
    </row>
    <row r="6" spans="1:30" x14ac:dyDescent="0.2">
      <c r="A6" s="100" t="str">
        <f t="shared" si="0"/>
        <v>Macrobiotus horningi</v>
      </c>
      <c r="B6" s="143" t="str">
        <f t="shared" si="0"/>
        <v>New Zealand</v>
      </c>
      <c r="C6" s="104" t="str">
        <f>individuals!J1</f>
        <v>NZ154</v>
      </c>
      <c r="D6" s="105">
        <f>IF(individuals!J3&gt;0,individuals!J3,"")</f>
        <v>562</v>
      </c>
      <c r="E6" s="106">
        <f>IF(individuals!J5&gt;0,individuals!J5,"")</f>
        <v>45.5</v>
      </c>
      <c r="F6" s="106">
        <f>IF(individuals!J6&gt;0,individuals!J6,"")</f>
        <v>35.5</v>
      </c>
      <c r="G6" s="106">
        <f>IF(individuals!J7&gt;0,individuals!J7,"")</f>
        <v>6.8</v>
      </c>
      <c r="H6" s="107">
        <f>IF(individuals!J8&gt;0,individuals!J8,"")</f>
        <v>5</v>
      </c>
      <c r="I6" s="106">
        <f>IF(individuals!J9&gt;0,individuals!J9,"")</f>
        <v>29</v>
      </c>
      <c r="J6" s="106">
        <f>IF(individuals!J11&gt;0,individuals!J11,"")</f>
        <v>11.2</v>
      </c>
      <c r="K6" s="107">
        <f>IF(individuals!J12&gt;0,individuals!J12,"")</f>
        <v>8.6</v>
      </c>
      <c r="L6" s="107" t="str">
        <f>IF(individuals!J13&gt;0,individuals!J13,"")</f>
        <v/>
      </c>
      <c r="M6" s="106" t="str">
        <f>IF(individuals!J14&gt;0,individuals!J14,"")</f>
        <v/>
      </c>
      <c r="N6" s="106" t="str">
        <f>IF(individuals!J15&gt;0,individuals!J15,"")</f>
        <v/>
      </c>
      <c r="O6" s="106">
        <f>IF(individuals!J17&gt;0,individuals!J17,"")</f>
        <v>10.6</v>
      </c>
      <c r="P6" s="106">
        <f>IF(individuals!J18&gt;0,individuals!J18,"")</f>
        <v>6.8</v>
      </c>
      <c r="Q6" s="106">
        <f>IF(individuals!J19&gt;0,individuals!J19,"")</f>
        <v>10.7</v>
      </c>
      <c r="R6" s="106">
        <f>IF(individuals!J20&gt;0,individuals!J20,"")</f>
        <v>7.6</v>
      </c>
      <c r="S6" s="106" t="str">
        <f>IF(individuals!J22&gt;0,individuals!J22,"")</f>
        <v/>
      </c>
      <c r="T6" s="106" t="str">
        <f>IF(individuals!J23&gt;0,individuals!J23,"")</f>
        <v/>
      </c>
      <c r="U6" s="106" t="str">
        <f>IF(individuals!J24&gt;0,individuals!J24,"")</f>
        <v/>
      </c>
      <c r="V6" s="106" t="str">
        <f>IF(individuals!J25&gt;0,individuals!J25,"")</f>
        <v/>
      </c>
      <c r="W6" s="106">
        <f>IF(individuals!J27&gt;0,individuals!J27,"")</f>
        <v>11.8</v>
      </c>
      <c r="X6" s="106">
        <f>IF(individuals!J28&gt;0,individuals!J28,"")</f>
        <v>7.8</v>
      </c>
      <c r="Y6" s="106">
        <f>IF(individuals!J29&gt;0,individuals!J29,"")</f>
        <v>10.8</v>
      </c>
      <c r="Z6" s="106" t="str">
        <f>IF(individuals!J30&gt;0,individuals!J30,"")</f>
        <v/>
      </c>
      <c r="AA6" s="106">
        <f>IF(individuals!J32&gt;0,individuals!J32,"")</f>
        <v>13.9</v>
      </c>
      <c r="AB6" s="106">
        <f>IF(individuals!J33&gt;0,individuals!J33,"")</f>
        <v>9.9</v>
      </c>
      <c r="AC6" s="106">
        <f>IF(individuals!J34&gt;0,individuals!J34,"")</f>
        <v>15.9</v>
      </c>
      <c r="AD6" s="106">
        <f>IF(individuals!J35&gt;0,individuals!J35,"")</f>
        <v>11.1</v>
      </c>
    </row>
    <row r="7" spans="1:30" x14ac:dyDescent="0.2">
      <c r="A7" s="100" t="str">
        <f t="shared" si="0"/>
        <v>Macrobiotus horningi</v>
      </c>
      <c r="B7" s="143" t="str">
        <f t="shared" si="0"/>
        <v>New Zealand</v>
      </c>
      <c r="C7" s="104" t="str">
        <f>individuals!L1</f>
        <v>NZ152</v>
      </c>
      <c r="D7" s="105">
        <f>IF(individuals!L3&gt;0,individuals!L3,"")</f>
        <v>517</v>
      </c>
      <c r="E7" s="106">
        <f>IF(individuals!L5&gt;0,individuals!L5,"")</f>
        <v>44</v>
      </c>
      <c r="F7" s="106">
        <f>IF(individuals!L6&gt;0,individuals!L6,"")</f>
        <v>33.9</v>
      </c>
      <c r="G7" s="106">
        <f>IF(individuals!L7&gt;0,individuals!L7,"")</f>
        <v>5.0999999999999996</v>
      </c>
      <c r="H7" s="107">
        <f>IF(individuals!L8&gt;0,individuals!L8,"")</f>
        <v>3.5</v>
      </c>
      <c r="I7" s="106">
        <f>IF(individuals!L9&gt;0,individuals!L9,"")</f>
        <v>26.6</v>
      </c>
      <c r="J7" s="106">
        <f>IF(individuals!L11&gt;0,individuals!L11,"")</f>
        <v>12.6</v>
      </c>
      <c r="K7" s="107">
        <f>IF(individuals!L12&gt;0,individuals!L12,"")</f>
        <v>8.1999999999999993</v>
      </c>
      <c r="L7" s="107">
        <f>IF(individuals!L13&gt;0,individuals!L13,"")</f>
        <v>3.3</v>
      </c>
      <c r="M7" s="106">
        <f>IF(individuals!L14&gt;0,individuals!L14,"")</f>
        <v>22.2</v>
      </c>
      <c r="N7" s="106">
        <f>IF(individuals!L15&gt;0,individuals!L15,"")</f>
        <v>27.6</v>
      </c>
      <c r="O7" s="106">
        <f>IF(individuals!L17&gt;0,individuals!L17,"")</f>
        <v>10.6</v>
      </c>
      <c r="P7" s="106" t="str">
        <f>IF(individuals!L18&gt;0,individuals!L18,"")</f>
        <v/>
      </c>
      <c r="Q7" s="106">
        <f>IF(individuals!L19&gt;0,individuals!L19,"")</f>
        <v>10.3</v>
      </c>
      <c r="R7" s="106" t="str">
        <f>IF(individuals!L20&gt;0,individuals!L20,"")</f>
        <v/>
      </c>
      <c r="S7" s="106" t="str">
        <f>IF(individuals!L22&gt;0,individuals!L22,"")</f>
        <v/>
      </c>
      <c r="T7" s="106" t="str">
        <f>IF(individuals!L23&gt;0,individuals!L23,"")</f>
        <v/>
      </c>
      <c r="U7" s="106" t="str">
        <f>IF(individuals!L24&gt;0,individuals!L24,"")</f>
        <v/>
      </c>
      <c r="V7" s="106" t="str">
        <f>IF(individuals!L25&gt;0,individuals!L25,"")</f>
        <v/>
      </c>
      <c r="W7" s="106">
        <f>IF(individuals!L27&gt;0,individuals!L27,"")</f>
        <v>11.3</v>
      </c>
      <c r="X7" s="106" t="str">
        <f>IF(individuals!L28&gt;0,individuals!L28,"")</f>
        <v/>
      </c>
      <c r="Y7" s="106">
        <f>IF(individuals!L29&gt;0,individuals!L29,"")</f>
        <v>10.3</v>
      </c>
      <c r="Z7" s="106" t="str">
        <f>IF(individuals!L30&gt;0,individuals!L30,"")</f>
        <v/>
      </c>
      <c r="AA7" s="106">
        <f>IF(individuals!L32&gt;0,individuals!L32,"")</f>
        <v>12.9</v>
      </c>
      <c r="AB7" s="106" t="str">
        <f>IF(individuals!L33&gt;0,individuals!L33,"")</f>
        <v/>
      </c>
      <c r="AC7" s="106">
        <f>IF(individuals!L34&gt;0,individuals!L34,"")</f>
        <v>14.6</v>
      </c>
      <c r="AD7" s="106" t="str">
        <f>IF(individuals!L35&gt;0,individuals!L35,"")</f>
        <v/>
      </c>
    </row>
    <row r="8" spans="1:30" x14ac:dyDescent="0.2">
      <c r="A8" s="100" t="str">
        <f t="shared" si="0"/>
        <v>Macrobiotus horningi</v>
      </c>
      <c r="B8" s="143" t="str">
        <f t="shared" si="0"/>
        <v>New Zealand</v>
      </c>
      <c r="C8" s="104" t="str">
        <f>individuals!N1</f>
        <v>NZ152</v>
      </c>
      <c r="D8" s="105">
        <f>IF(individuals!N3&gt;0,individuals!N3,"")</f>
        <v>363.6</v>
      </c>
      <c r="E8" s="106">
        <f>IF(individuals!N5&gt;0,individuals!N5,"")</f>
        <v>35.4</v>
      </c>
      <c r="F8" s="106">
        <f>IF(individuals!N6&gt;0,individuals!N6,"")</f>
        <v>27.9</v>
      </c>
      <c r="G8" s="106">
        <f>IF(individuals!N7&gt;0,individuals!N7,"")</f>
        <v>4.7</v>
      </c>
      <c r="H8" s="107">
        <f>IF(individuals!N8&gt;0,individuals!N8,"")</f>
        <v>2.9</v>
      </c>
      <c r="I8" s="106">
        <f>IF(individuals!N9&gt;0,individuals!N9,"")</f>
        <v>21.9</v>
      </c>
      <c r="J8" s="106">
        <f>IF(individuals!N11&gt;0,individuals!N11,"")</f>
        <v>9.9</v>
      </c>
      <c r="K8" s="107">
        <f>IF(individuals!N12&gt;0,individuals!N12,"")</f>
        <v>6.3</v>
      </c>
      <c r="L8" s="107">
        <f>IF(individuals!N13&gt;0,individuals!N13,"")</f>
        <v>3</v>
      </c>
      <c r="M8" s="106">
        <f>IF(individuals!N14&gt;0,individuals!N14,"")</f>
        <v>17.5</v>
      </c>
      <c r="N8" s="106">
        <f>IF(individuals!N15&gt;0,individuals!N15,"")</f>
        <v>20.8</v>
      </c>
      <c r="O8" s="106">
        <f>IF(individuals!N17&gt;0,individuals!N17,"")</f>
        <v>8.8000000000000007</v>
      </c>
      <c r="P8" s="106" t="str">
        <f>IF(individuals!N18&gt;0,individuals!N18,"")</f>
        <v/>
      </c>
      <c r="Q8" s="106">
        <f>IF(individuals!N19&gt;0,individuals!N19,"")</f>
        <v>8.3000000000000007</v>
      </c>
      <c r="R8" s="106" t="str">
        <f>IF(individuals!N20&gt;0,individuals!N20,"")</f>
        <v/>
      </c>
      <c r="S8" s="106" t="str">
        <f>IF(individuals!N22&gt;0,individuals!N22,"")</f>
        <v/>
      </c>
      <c r="T8" s="106" t="str">
        <f>IF(individuals!N23&gt;0,individuals!N23,"")</f>
        <v/>
      </c>
      <c r="U8" s="106" t="str">
        <f>IF(individuals!N24&gt;0,individuals!N24,"")</f>
        <v/>
      </c>
      <c r="V8" s="106" t="str">
        <f>IF(individuals!N25&gt;0,individuals!N25,"")</f>
        <v/>
      </c>
      <c r="W8" s="106">
        <f>IF(individuals!N27&gt;0,individuals!N27,"")</f>
        <v>8.9</v>
      </c>
      <c r="X8" s="106" t="str">
        <f>IF(individuals!N28&gt;0,individuals!N28,"")</f>
        <v/>
      </c>
      <c r="Y8" s="106">
        <f>IF(individuals!N29&gt;0,individuals!N29,"")</f>
        <v>8.8000000000000007</v>
      </c>
      <c r="Z8" s="106" t="str">
        <f>IF(individuals!N30&gt;0,individuals!N30,"")</f>
        <v/>
      </c>
      <c r="AA8" s="106">
        <f>IF(individuals!N32&gt;0,individuals!N32,"")</f>
        <v>13.9</v>
      </c>
      <c r="AB8" s="106">
        <f>IF(individuals!N33&gt;0,individuals!N33,"")</f>
        <v>10.8</v>
      </c>
      <c r="AC8" s="106" t="str">
        <f>IF(individuals!N34&gt;0,individuals!N34,"")</f>
        <v/>
      </c>
      <c r="AD8" s="106" t="str">
        <f>IF(individuals!N35&gt;0,individuals!N35,"")</f>
        <v/>
      </c>
    </row>
    <row r="9" spans="1:30" x14ac:dyDescent="0.2">
      <c r="A9" s="100" t="str">
        <f t="shared" si="0"/>
        <v>Macrobiotus horningi</v>
      </c>
      <c r="B9" s="143" t="str">
        <f t="shared" si="0"/>
        <v>New Zealand</v>
      </c>
      <c r="C9" s="104" t="str">
        <f>individuals!P1</f>
        <v>NZ157</v>
      </c>
      <c r="D9" s="105">
        <f>IF(individuals!P3&gt;0,individuals!P3,"")</f>
        <v>214</v>
      </c>
      <c r="E9" s="106">
        <f>IF(individuals!P5&gt;0,individuals!P5,"")</f>
        <v>25</v>
      </c>
      <c r="F9" s="106">
        <f>IF(individuals!P6&gt;0,individuals!P6,"")</f>
        <v>19.100000000000001</v>
      </c>
      <c r="G9" s="106">
        <f>IF(individuals!P7&gt;0,individuals!P7,"")</f>
        <v>3</v>
      </c>
      <c r="H9" s="107">
        <f>IF(individuals!P8&gt;0,individuals!P8,"")</f>
        <v>1.8</v>
      </c>
      <c r="I9" s="106">
        <f>IF(individuals!P9&gt;0,individuals!P9,"")</f>
        <v>14.9</v>
      </c>
      <c r="J9" s="106">
        <f>IF(individuals!P11&gt;0,individuals!P11,"")</f>
        <v>5.3</v>
      </c>
      <c r="K9" s="107">
        <f>IF(individuals!P12&gt;0,individuals!P12,"")</f>
        <v>3.8</v>
      </c>
      <c r="L9" s="107">
        <f>IF(individuals!P13&gt;0,individuals!P13,"")</f>
        <v>2.1</v>
      </c>
      <c r="M9" s="106">
        <f>IF(individuals!P14&gt;0,individuals!P14,"")</f>
        <v>10.5</v>
      </c>
      <c r="N9" s="106">
        <f>IF(individuals!P15&gt;0,individuals!P15,"")</f>
        <v>12.2</v>
      </c>
      <c r="O9" s="106">
        <f>IF(individuals!P17&gt;0,individuals!P17,"")</f>
        <v>6.5</v>
      </c>
      <c r="P9" s="106" t="str">
        <f>IF(individuals!P18&gt;0,individuals!P18,"")</f>
        <v/>
      </c>
      <c r="Q9" s="106">
        <f>IF(individuals!P19&gt;0,individuals!P19,"")</f>
        <v>6</v>
      </c>
      <c r="R9" s="106">
        <f>IF(individuals!P20&gt;0,individuals!P20,"")</f>
        <v>4.4000000000000004</v>
      </c>
      <c r="S9" s="106">
        <f>IF(individuals!P22&gt;0,individuals!P22,"")</f>
        <v>6.3</v>
      </c>
      <c r="T9" s="106" t="str">
        <f>IF(individuals!P23&gt;0,individuals!P23,"")</f>
        <v/>
      </c>
      <c r="U9" s="106">
        <f>IF(individuals!P24&gt;0,individuals!P24,"")</f>
        <v>6</v>
      </c>
      <c r="V9" s="106" t="str">
        <f>IF(individuals!P25&gt;0,individuals!P25,"")</f>
        <v/>
      </c>
      <c r="W9" s="106">
        <f>IF(individuals!P27&gt;0,individuals!P27,"")</f>
        <v>6.7</v>
      </c>
      <c r="X9" s="106" t="str">
        <f>IF(individuals!P28&gt;0,individuals!P28,"")</f>
        <v/>
      </c>
      <c r="Y9" s="106">
        <f>IF(individuals!P29&gt;0,individuals!P29,"")</f>
        <v>6.6</v>
      </c>
      <c r="Z9" s="106">
        <f>IF(individuals!P30&gt;0,individuals!P30,"")</f>
        <v>5.3</v>
      </c>
      <c r="AA9" s="106">
        <f>IF(individuals!P32&gt;0,individuals!P32,"")</f>
        <v>7.5</v>
      </c>
      <c r="AB9" s="106" t="str">
        <f>IF(individuals!P33&gt;0,individuals!P33,"")</f>
        <v/>
      </c>
      <c r="AC9" s="106" t="str">
        <f>IF(individuals!P34&gt;0,individuals!P34,"")</f>
        <v/>
      </c>
      <c r="AD9" s="106" t="str">
        <f>IF(individuals!P35&gt;0,individuals!P35,"")</f>
        <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AC9"/>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RowHeight="12.75" x14ac:dyDescent="0.2"/>
  <cols>
    <col min="1" max="1" width="19" style="109" bestFit="1" customWidth="1"/>
    <col min="2" max="2" width="11.5703125" style="144" bestFit="1" customWidth="1"/>
    <col min="3" max="3" width="9.140625" style="110"/>
    <col min="4" max="29" width="17" style="111" customWidth="1"/>
    <col min="30" max="16384" width="9.140625" style="108"/>
  </cols>
  <sheetData>
    <row r="1" spans="1:29" s="103" customFormat="1" ht="25.5" x14ac:dyDescent="0.2">
      <c r="A1" s="100" t="s">
        <v>90</v>
      </c>
      <c r="B1" s="142" t="s">
        <v>91</v>
      </c>
      <c r="C1" s="101" t="s">
        <v>62</v>
      </c>
      <c r="D1" s="102" t="s">
        <v>25</v>
      </c>
      <c r="E1" s="102" t="s">
        <v>64</v>
      </c>
      <c r="F1" s="102" t="s">
        <v>65</v>
      </c>
      <c r="G1" s="102" t="s">
        <v>66</v>
      </c>
      <c r="H1" s="102" t="s">
        <v>67</v>
      </c>
      <c r="I1" s="102" t="s">
        <v>68</v>
      </c>
      <c r="J1" s="102" t="s">
        <v>69</v>
      </c>
      <c r="K1" s="102" t="s">
        <v>70</v>
      </c>
      <c r="L1" s="102" t="s">
        <v>71</v>
      </c>
      <c r="M1" s="102" t="s">
        <v>72</v>
      </c>
      <c r="N1" s="102" t="s">
        <v>78</v>
      </c>
      <c r="O1" s="102" t="s">
        <v>79</v>
      </c>
      <c r="P1" s="102" t="s">
        <v>80</v>
      </c>
      <c r="Q1" s="102" t="s">
        <v>81</v>
      </c>
      <c r="R1" s="102" t="s">
        <v>82</v>
      </c>
      <c r="S1" s="102" t="s">
        <v>83</v>
      </c>
      <c r="T1" s="102" t="s">
        <v>84</v>
      </c>
      <c r="U1" s="102" t="s">
        <v>85</v>
      </c>
      <c r="V1" s="102" t="s">
        <v>86</v>
      </c>
      <c r="W1" s="102" t="s">
        <v>87</v>
      </c>
      <c r="X1" s="102" t="s">
        <v>88</v>
      </c>
      <c r="Y1" s="102" t="s">
        <v>89</v>
      </c>
      <c r="Z1" s="102" t="s">
        <v>73</v>
      </c>
      <c r="AA1" s="102" t="s">
        <v>74</v>
      </c>
      <c r="AB1" s="102" t="s">
        <v>75</v>
      </c>
      <c r="AC1" s="102" t="s">
        <v>76</v>
      </c>
    </row>
    <row r="2" spans="1:29" x14ac:dyDescent="0.2">
      <c r="A2" s="100" t="str">
        <f>'individuals_stats (μm)'!A$2</f>
        <v>Macrobiotus horningi</v>
      </c>
      <c r="B2" s="145" t="str">
        <f>'individuals_stats (μm)'!B$2</f>
        <v>New Zealand</v>
      </c>
      <c r="C2" s="104" t="str">
        <f>individuals!B1</f>
        <v>NZ157 (HOL)</v>
      </c>
      <c r="D2" s="105">
        <f>IF(individuals!C3&gt;0,individuals!C3,"")</f>
        <v>1283.0188679245282</v>
      </c>
      <c r="E2" s="106">
        <f>IF(individuals!C6&gt;0,individuals!C6,"")</f>
        <v>79.245283018867923</v>
      </c>
      <c r="F2" s="106">
        <f>IF(individuals!C7&gt;0,individuals!C7,"")</f>
        <v>14.046121593291405</v>
      </c>
      <c r="G2" s="107">
        <f>IF(individuals!C8&gt;0,individuals!C8,"")</f>
        <v>9.2243186582809216</v>
      </c>
      <c r="H2" s="106">
        <f>IF(individuals!C9&gt;0,individuals!C9,"")</f>
        <v>61.425576519916135</v>
      </c>
      <c r="I2" s="106">
        <f>IF(individuals!C11&gt;0,individuals!C11,"")</f>
        <v>27.463312368972741</v>
      </c>
      <c r="J2" s="107">
        <f>IF(individuals!C12&gt;0,individuals!C12,"")</f>
        <v>18.029350104821802</v>
      </c>
      <c r="K2" s="107">
        <f>IF(individuals!C13&gt;0,individuals!C13,"")</f>
        <v>6.7085953878406714</v>
      </c>
      <c r="L2" s="106">
        <f>IF(individuals!C14&gt;0,individuals!C14,"")</f>
        <v>51.15303983228511</v>
      </c>
      <c r="M2" s="106">
        <f>IF(individuals!C15&gt;0,individuals!C15,"")</f>
        <v>62.264150943396224</v>
      </c>
      <c r="N2" s="106">
        <f>IF(individuals!C17&gt;0,individuals!C17,"")</f>
        <v>26.415094339622641</v>
      </c>
      <c r="O2" s="106">
        <f>IF(individuals!C18&gt;0,individuals!C18,"")</f>
        <v>18.029350104821802</v>
      </c>
      <c r="P2" s="106">
        <f>IF(individuals!C19&gt;0,individuals!C19,"")</f>
        <v>22.851153039832283</v>
      </c>
      <c r="Q2" s="106">
        <f>IF(individuals!C20&gt;0,individuals!C20,"")</f>
        <v>14.675052410901468</v>
      </c>
      <c r="R2" s="106">
        <f>IF(individuals!C22&gt;0,individuals!C22,"")</f>
        <v>26.205450733752617</v>
      </c>
      <c r="S2" s="106" t="str">
        <f>IF(individuals!C23&gt;0,individuals!C23,"")</f>
        <v/>
      </c>
      <c r="T2" s="106">
        <f>IF(individuals!C24&gt;0,individuals!C24,"")</f>
        <v>24.109014675052411</v>
      </c>
      <c r="U2" s="106" t="str">
        <f>IF(individuals!C25&gt;0,individuals!C25,"")</f>
        <v/>
      </c>
      <c r="V2" s="106">
        <f>IF(individuals!C27&gt;0,individuals!C27,"")</f>
        <v>27.253668763102723</v>
      </c>
      <c r="W2" s="106" t="str">
        <f>IF(individuals!C28&gt;0,individuals!C28,"")</f>
        <v/>
      </c>
      <c r="X2" s="106">
        <f>IF(individuals!C29&gt;0,individuals!C29,"")</f>
        <v>25.157232704402517</v>
      </c>
      <c r="Y2" s="106" t="str">
        <f>IF(individuals!C30&gt;0,individuals!C30,"")</f>
        <v/>
      </c>
      <c r="Z2" s="106">
        <f>IF(individuals!C32&gt;0,individuals!C32,"")</f>
        <v>31.236897274633122</v>
      </c>
      <c r="AA2" s="106">
        <f>IF(individuals!C33&gt;0,individuals!C33,"")</f>
        <v>27.044025157232703</v>
      </c>
      <c r="AB2" s="106">
        <f>IF(individuals!C34&gt;0,individuals!C34,"")</f>
        <v>32.494758909853246</v>
      </c>
      <c r="AC2" s="106">
        <f>IF(individuals!C35&gt;0,individuals!C35,"")</f>
        <v>30.188679245283019</v>
      </c>
    </row>
    <row r="3" spans="1:29" x14ac:dyDescent="0.2">
      <c r="A3" s="100" t="str">
        <f>'individuals_stats (μm)'!A$2</f>
        <v>Macrobiotus horningi</v>
      </c>
      <c r="B3" s="145" t="str">
        <f>'individuals_stats (μm)'!B$2</f>
        <v>New Zealand</v>
      </c>
      <c r="C3" s="104" t="str">
        <f>individuals!D1</f>
        <v>NZ152</v>
      </c>
      <c r="D3" s="105" t="str">
        <f>IF(individuals!E3&gt;0,individuals!E3,"")</f>
        <v/>
      </c>
      <c r="E3" s="106">
        <f>IF(individuals!E6&gt;0,individuals!E6,"")</f>
        <v>77.284595300261103</v>
      </c>
      <c r="F3" s="106">
        <f>IF(individuals!E7&gt;0,individuals!E7,"")</f>
        <v>14.099216710182768</v>
      </c>
      <c r="G3" s="107">
        <f>IF(individuals!E8&gt;0,individuals!E8,"")</f>
        <v>11.488250652741517</v>
      </c>
      <c r="H3" s="106">
        <f>IF(individuals!E9&gt;0,individuals!E9,"")</f>
        <v>64.751958224543088</v>
      </c>
      <c r="I3" s="106">
        <f>IF(individuals!E11&gt;0,individuals!E11,"")</f>
        <v>27.154046997389038</v>
      </c>
      <c r="J3" s="107">
        <f>IF(individuals!E12&gt;0,individuals!E12,"")</f>
        <v>16.971279373368148</v>
      </c>
      <c r="K3" s="107">
        <f>IF(individuals!E13&gt;0,individuals!E13,"")</f>
        <v>7.8328981723237598</v>
      </c>
      <c r="L3" s="106">
        <f>IF(individuals!E14&gt;0,individuals!E14,"")</f>
        <v>51.174934725848573</v>
      </c>
      <c r="M3" s="106">
        <f>IF(individuals!E15&gt;0,individuals!E15,"")</f>
        <v>62.663185378590079</v>
      </c>
      <c r="N3" s="106">
        <f>IF(individuals!E17&gt;0,individuals!E17,"")</f>
        <v>23.49869451697128</v>
      </c>
      <c r="O3" s="106" t="str">
        <f>IF(individuals!E18&gt;0,individuals!E18,"")</f>
        <v/>
      </c>
      <c r="P3" s="106">
        <f>IF(individuals!E19&gt;0,individuals!E19,"")</f>
        <v>21.932114882506529</v>
      </c>
      <c r="Q3" s="106" t="str">
        <f>IF(individuals!E20&gt;0,individuals!E20,"")</f>
        <v/>
      </c>
      <c r="R3" s="106">
        <f>IF(individuals!E22&gt;0,individuals!E22,"")</f>
        <v>23.49869451697128</v>
      </c>
      <c r="S3" s="106" t="str">
        <f>IF(individuals!E23&gt;0,individuals!E23,"")</f>
        <v/>
      </c>
      <c r="T3" s="106">
        <f>IF(individuals!E24&gt;0,individuals!E24,"")</f>
        <v>20.887728459530027</v>
      </c>
      <c r="U3" s="106" t="str">
        <f>IF(individuals!E25&gt;0,individuals!E25,"")</f>
        <v/>
      </c>
      <c r="V3" s="106">
        <f>IF(individuals!E27&gt;0,individuals!E27,"")</f>
        <v>24.28198433420366</v>
      </c>
      <c r="W3" s="106" t="str">
        <f>IF(individuals!E28&gt;0,individuals!E28,"")</f>
        <v/>
      </c>
      <c r="X3" s="106">
        <f>IF(individuals!E29&gt;0,individuals!E29,"")</f>
        <v>23.49869451697128</v>
      </c>
      <c r="Y3" s="106" t="str">
        <f>IF(individuals!E30&gt;0,individuals!E30,"")</f>
        <v/>
      </c>
      <c r="Z3" s="106" t="str">
        <f>IF(individuals!E32&gt;0,individuals!E32,"")</f>
        <v/>
      </c>
      <c r="AA3" s="106" t="str">
        <f>IF(individuals!E33&gt;0,individuals!E33,"")</f>
        <v/>
      </c>
      <c r="AB3" s="106" t="str">
        <f>IF(individuals!E34&gt;0,individuals!E34,"")</f>
        <v/>
      </c>
      <c r="AC3" s="106" t="str">
        <f>IF(individuals!E35&gt;0,individuals!E35,"")</f>
        <v/>
      </c>
    </row>
    <row r="4" spans="1:29" x14ac:dyDescent="0.2">
      <c r="A4" s="100" t="str">
        <f>'individuals_stats (μm)'!A$2</f>
        <v>Macrobiotus horningi</v>
      </c>
      <c r="B4" s="145" t="str">
        <f>'individuals_stats (μm)'!B$2</f>
        <v>New Zealand</v>
      </c>
      <c r="C4" s="104" t="str">
        <f>individuals!F1</f>
        <v>NZ166</v>
      </c>
      <c r="D4" s="105">
        <f>IF(individuals!G3&gt;0,individuals!G3,"")</f>
        <v>1164.4562334217505</v>
      </c>
      <c r="E4" s="106">
        <f>IF(individuals!G6&gt;0,individuals!G6,"")</f>
        <v>78.514588859416449</v>
      </c>
      <c r="F4" s="106">
        <f>IF(individuals!G7&gt;0,individuals!G7,"")</f>
        <v>15.119363395225463</v>
      </c>
      <c r="G4" s="107">
        <f>IF(individuals!G8&gt;0,individuals!G8,"")</f>
        <v>11.140583554376656</v>
      </c>
      <c r="H4" s="106">
        <f>IF(individuals!G9&gt;0,individuals!G9,"")</f>
        <v>63.129973474801062</v>
      </c>
      <c r="I4" s="106">
        <f>IF(individuals!G11&gt;0,individuals!G11,"")</f>
        <v>27.851458885941643</v>
      </c>
      <c r="J4" s="107">
        <f>IF(individuals!G12&gt;0,individuals!G12,"")</f>
        <v>17.241379310344826</v>
      </c>
      <c r="K4" s="107">
        <f>IF(individuals!G13&gt;0,individuals!G13,"")</f>
        <v>5.8355437665782492</v>
      </c>
      <c r="L4" s="106">
        <f>IF(individuals!G14&gt;0,individuals!G14,"")</f>
        <v>47.745358090185675</v>
      </c>
      <c r="M4" s="106">
        <f>IF(individuals!G15&gt;0,individuals!G15,"")</f>
        <v>57.559681697612731</v>
      </c>
      <c r="N4" s="106">
        <f>IF(individuals!G17&gt;0,individuals!G17,"")</f>
        <v>24.403183023872678</v>
      </c>
      <c r="O4" s="106">
        <f>IF(individuals!G18&gt;0,individuals!G18,"")</f>
        <v>18.302387267904511</v>
      </c>
      <c r="P4" s="106">
        <f>IF(individuals!G19&gt;0,individuals!G19,"")</f>
        <v>21.220159151193631</v>
      </c>
      <c r="Q4" s="106">
        <f>IF(individuals!G20&gt;0,individuals!G20,"")</f>
        <v>19.628647214854112</v>
      </c>
      <c r="R4" s="106" t="str">
        <f>IF(individuals!G22&gt;0,individuals!G22,"")</f>
        <v/>
      </c>
      <c r="S4" s="106" t="str">
        <f>IF(individuals!G23&gt;0,individuals!G23,"")</f>
        <v/>
      </c>
      <c r="T4" s="106">
        <f>IF(individuals!G24&gt;0,individuals!G24,"")</f>
        <v>22.015915119363395</v>
      </c>
      <c r="U4" s="106">
        <f>IF(individuals!G25&gt;0,individuals!G25,"")</f>
        <v>17.771883289124666</v>
      </c>
      <c r="V4" s="106">
        <f>IF(individuals!G27&gt;0,individuals!G27,"")</f>
        <v>24.137931034482758</v>
      </c>
      <c r="W4" s="106">
        <f>IF(individuals!G28&gt;0,individuals!G28,"")</f>
        <v>19.363395225464188</v>
      </c>
      <c r="X4" s="106">
        <f>IF(individuals!G29&gt;0,individuals!G29,"")</f>
        <v>22.811671087533153</v>
      </c>
      <c r="Y4" s="106">
        <f>IF(individuals!G30&gt;0,individuals!G30,"")</f>
        <v>17.241379310344826</v>
      </c>
      <c r="Z4" s="106">
        <f>IF(individuals!G32&gt;0,individuals!G32,"")</f>
        <v>36.339522546419097</v>
      </c>
      <c r="AA4" s="106">
        <f>IF(individuals!G33&gt;0,individuals!G33,"")</f>
        <v>28.647214854111407</v>
      </c>
      <c r="AB4" s="106">
        <f>IF(individuals!G34&gt;0,individuals!G34,"")</f>
        <v>36.870026525198938</v>
      </c>
      <c r="AC4" s="106">
        <f>IF(individuals!G35&gt;0,individuals!G35,"")</f>
        <v>31.299734748010611</v>
      </c>
    </row>
    <row r="5" spans="1:29" x14ac:dyDescent="0.2">
      <c r="A5" s="100" t="str">
        <f>'individuals_stats (μm)'!A$2</f>
        <v>Macrobiotus horningi</v>
      </c>
      <c r="B5" s="145" t="str">
        <f>'individuals_stats (μm)'!B$2</f>
        <v>New Zealand</v>
      </c>
      <c r="C5" s="104" t="str">
        <f>individuals!H1</f>
        <v>NZ152</v>
      </c>
      <c r="D5" s="105">
        <f>IF(individuals!I3&gt;0,individuals!I3,"")</f>
        <v>839.62264150943395</v>
      </c>
      <c r="E5" s="106">
        <f>IF(individuals!I6&gt;0,individuals!I6,"")</f>
        <v>80.188679245283012</v>
      </c>
      <c r="F5" s="106">
        <f>IF(individuals!I7&gt;0,individuals!I7,"")</f>
        <v>14.465408805031446</v>
      </c>
      <c r="G5" s="107">
        <f>IF(individuals!I8&gt;0,individuals!I8,"")</f>
        <v>8.8050314465408803</v>
      </c>
      <c r="H5" s="106">
        <f>IF(individuals!I9&gt;0,individuals!I9,"")</f>
        <v>64.15094339622641</v>
      </c>
      <c r="I5" s="106">
        <f>IF(individuals!I11&gt;0,individuals!I11,"")</f>
        <v>25.786163522012579</v>
      </c>
      <c r="J5" s="107">
        <f>IF(individuals!I12&gt;0,individuals!I12,"")</f>
        <v>17.29559748427673</v>
      </c>
      <c r="K5" s="107">
        <f>IF(individuals!I13&gt;0,individuals!I13,"")</f>
        <v>6.9182389937106921</v>
      </c>
      <c r="L5" s="106">
        <f>IF(individuals!I14&gt;0,individuals!I14,"")</f>
        <v>49.371069182389931</v>
      </c>
      <c r="M5" s="106">
        <f>IF(individuals!I15&gt;0,individuals!I15,"")</f>
        <v>60.377358490566039</v>
      </c>
      <c r="N5" s="106" t="str">
        <f>IF(individuals!I17&gt;0,individuals!I17,"")</f>
        <v/>
      </c>
      <c r="O5" s="106" t="str">
        <f>IF(individuals!I18&gt;0,individuals!I18,"")</f>
        <v/>
      </c>
      <c r="P5" s="106" t="str">
        <f>IF(individuals!I19&gt;0,individuals!I19,"")</f>
        <v/>
      </c>
      <c r="Q5" s="106" t="str">
        <f>IF(individuals!I20&gt;0,individuals!I20,"")</f>
        <v/>
      </c>
      <c r="R5" s="106" t="str">
        <f>IF(individuals!I22&gt;0,individuals!I22,"")</f>
        <v/>
      </c>
      <c r="S5" s="106" t="str">
        <f>IF(individuals!I23&gt;0,individuals!I23,"")</f>
        <v/>
      </c>
      <c r="T5" s="106" t="str">
        <f>IF(individuals!I24&gt;0,individuals!I24,"")</f>
        <v/>
      </c>
      <c r="U5" s="106" t="str">
        <f>IF(individuals!I25&gt;0,individuals!I25,"")</f>
        <v/>
      </c>
      <c r="V5" s="106">
        <f>IF(individuals!I27&gt;0,individuals!I27,"")</f>
        <v>25.786163522012579</v>
      </c>
      <c r="W5" s="106">
        <f>IF(individuals!I28&gt;0,individuals!I28,"")</f>
        <v>21.069182389937108</v>
      </c>
      <c r="X5" s="106">
        <f>IF(individuals!I29&gt;0,individuals!I29,"")</f>
        <v>24.213836477987421</v>
      </c>
      <c r="Y5" s="106">
        <f>IF(individuals!I30&gt;0,individuals!I30,"")</f>
        <v>18.553459119496857</v>
      </c>
      <c r="Z5" s="106">
        <f>IF(individuals!I32&gt;0,individuals!I32,"")</f>
        <v>28.30188679245283</v>
      </c>
      <c r="AA5" s="106">
        <f>IF(individuals!I33&gt;0,individuals!I33,"")</f>
        <v>22.641509433962266</v>
      </c>
      <c r="AB5" s="106">
        <f>IF(individuals!I34&gt;0,individuals!I34,"")</f>
        <v>29.559748427672954</v>
      </c>
      <c r="AC5" s="106">
        <f>IF(individuals!I35&gt;0,individuals!I35,"")</f>
        <v>22.327044025157232</v>
      </c>
    </row>
    <row r="6" spans="1:29" x14ac:dyDescent="0.2">
      <c r="A6" s="100" t="str">
        <f>'individuals_stats (μm)'!A$2</f>
        <v>Macrobiotus horningi</v>
      </c>
      <c r="B6" s="145" t="str">
        <f>'individuals_stats (μm)'!B$2</f>
        <v>New Zealand</v>
      </c>
      <c r="C6" s="104" t="str">
        <f>individuals!J1</f>
        <v>NZ154</v>
      </c>
      <c r="D6" s="105">
        <f>IF(individuals!K3&gt;0,individuals!K3,"")</f>
        <v>1235.1648351648353</v>
      </c>
      <c r="E6" s="106">
        <f>IF(individuals!K6&gt;0,individuals!K6,"")</f>
        <v>78.021978021978029</v>
      </c>
      <c r="F6" s="106">
        <f>IF(individuals!K7&gt;0,individuals!K7,"")</f>
        <v>14.945054945054945</v>
      </c>
      <c r="G6" s="107">
        <f>IF(individuals!K8&gt;0,individuals!K8,"")</f>
        <v>10.989010989010989</v>
      </c>
      <c r="H6" s="106">
        <f>IF(individuals!K9&gt;0,individuals!K9,"")</f>
        <v>63.73626373626373</v>
      </c>
      <c r="I6" s="106">
        <f>IF(individuals!K11&gt;0,individuals!K11,"")</f>
        <v>24.615384615384613</v>
      </c>
      <c r="J6" s="107">
        <f>IF(individuals!K12&gt;0,individuals!K12,"")</f>
        <v>18.901098901098901</v>
      </c>
      <c r="K6" s="107" t="str">
        <f>IF(individuals!K13&gt;0,individuals!K13,"")</f>
        <v/>
      </c>
      <c r="L6" s="106" t="str">
        <f>IF(individuals!K14&gt;0,individuals!K14,"")</f>
        <v/>
      </c>
      <c r="M6" s="106" t="str">
        <f>IF(individuals!K15&gt;0,individuals!K15,"")</f>
        <v/>
      </c>
      <c r="N6" s="106">
        <f>IF(individuals!K17&gt;0,individuals!K17,"")</f>
        <v>23.296703296703296</v>
      </c>
      <c r="O6" s="106">
        <f>IF(individuals!K18&gt;0,individuals!K18,"")</f>
        <v>14.945054945054945</v>
      </c>
      <c r="P6" s="106">
        <f>IF(individuals!K19&gt;0,individuals!K19,"")</f>
        <v>23.516483516483515</v>
      </c>
      <c r="Q6" s="106">
        <f>IF(individuals!K20&gt;0,individuals!K20,"")</f>
        <v>16.703296703296701</v>
      </c>
      <c r="R6" s="106" t="str">
        <f>IF(individuals!K22&gt;0,individuals!K22,"")</f>
        <v/>
      </c>
      <c r="S6" s="106" t="str">
        <f>IF(individuals!K23&gt;0,individuals!K23,"")</f>
        <v/>
      </c>
      <c r="T6" s="106" t="str">
        <f>IF(individuals!K24&gt;0,individuals!K24,"")</f>
        <v/>
      </c>
      <c r="U6" s="106" t="str">
        <f>IF(individuals!K25&gt;0,individuals!K25,"")</f>
        <v/>
      </c>
      <c r="V6" s="106">
        <f>IF(individuals!K27&gt;0,individuals!K27,"")</f>
        <v>25.934065934065938</v>
      </c>
      <c r="W6" s="106">
        <f>IF(individuals!K28&gt;0,individuals!K28,"")</f>
        <v>17.142857142857142</v>
      </c>
      <c r="X6" s="106">
        <f>IF(individuals!K29&gt;0,individuals!K29,"")</f>
        <v>23.736263736263737</v>
      </c>
      <c r="Y6" s="106" t="str">
        <f>IF(individuals!K30&gt;0,individuals!K30,"")</f>
        <v/>
      </c>
      <c r="Z6" s="106">
        <f>IF(individuals!K32&gt;0,individuals!K32,"")</f>
        <v>30.549450549450551</v>
      </c>
      <c r="AA6" s="106">
        <f>IF(individuals!K33&gt;0,individuals!K33,"")</f>
        <v>21.758241758241759</v>
      </c>
      <c r="AB6" s="106">
        <f>IF(individuals!K34&gt;0,individuals!K34,"")</f>
        <v>34.945054945054949</v>
      </c>
      <c r="AC6" s="106">
        <f>IF(individuals!K35&gt;0,individuals!K35,"")</f>
        <v>24.395604395604394</v>
      </c>
    </row>
    <row r="7" spans="1:29" x14ac:dyDescent="0.2">
      <c r="A7" s="100" t="str">
        <f>'individuals_stats (μm)'!A$2</f>
        <v>Macrobiotus horningi</v>
      </c>
      <c r="B7" s="145" t="str">
        <f>'individuals_stats (μm)'!B$2</f>
        <v>New Zealand</v>
      </c>
      <c r="C7" s="104" t="str">
        <f>individuals!L1</f>
        <v>NZ152</v>
      </c>
      <c r="D7" s="105">
        <f>IF(individuals!M3&gt;0,individuals!M3,"")</f>
        <v>1175</v>
      </c>
      <c r="E7" s="106">
        <f>IF(individuals!M6&gt;0,individuals!M6,"")</f>
        <v>77.045454545454533</v>
      </c>
      <c r="F7" s="106">
        <f>IF(individuals!M7&gt;0,individuals!M7,"")</f>
        <v>11.59090909090909</v>
      </c>
      <c r="G7" s="107">
        <f>IF(individuals!M8&gt;0,individuals!M8,"")</f>
        <v>7.9545454545454541</v>
      </c>
      <c r="H7" s="106">
        <f>IF(individuals!M9&gt;0,individuals!M9,"")</f>
        <v>60.45454545454546</v>
      </c>
      <c r="I7" s="106">
        <f>IF(individuals!M11&gt;0,individuals!M11,"")</f>
        <v>28.636363636363637</v>
      </c>
      <c r="J7" s="107">
        <f>IF(individuals!M12&gt;0,individuals!M12,"")</f>
        <v>18.636363636363633</v>
      </c>
      <c r="K7" s="107">
        <f>IF(individuals!M13&gt;0,individuals!M13,"")</f>
        <v>7.5</v>
      </c>
      <c r="L7" s="106">
        <f>IF(individuals!M14&gt;0,individuals!M14,"")</f>
        <v>50.454545454545453</v>
      </c>
      <c r="M7" s="106">
        <f>IF(individuals!M15&gt;0,individuals!M15,"")</f>
        <v>62.727272727272734</v>
      </c>
      <c r="N7" s="106">
        <f>IF(individuals!M17&gt;0,individuals!M17,"")</f>
        <v>24.09090909090909</v>
      </c>
      <c r="O7" s="106" t="str">
        <f>IF(individuals!M18&gt;0,individuals!M18,"")</f>
        <v/>
      </c>
      <c r="P7" s="106">
        <f>IF(individuals!M19&gt;0,individuals!M19,"")</f>
        <v>23.40909090909091</v>
      </c>
      <c r="Q7" s="106" t="str">
        <f>IF(individuals!M20&gt;0,individuals!M20,"")</f>
        <v/>
      </c>
      <c r="R7" s="106" t="str">
        <f>IF(individuals!M22&gt;0,individuals!M22,"")</f>
        <v/>
      </c>
      <c r="S7" s="106" t="str">
        <f>IF(individuals!M23&gt;0,individuals!M23,"")</f>
        <v/>
      </c>
      <c r="T7" s="106" t="str">
        <f>IF(individuals!M24&gt;0,individuals!M24,"")</f>
        <v/>
      </c>
      <c r="U7" s="106" t="str">
        <f>IF(individuals!M25&gt;0,individuals!M25,"")</f>
        <v/>
      </c>
      <c r="V7" s="106">
        <f>IF(individuals!M27&gt;0,individuals!M27,"")</f>
        <v>25.681818181818183</v>
      </c>
      <c r="W7" s="106" t="str">
        <f>IF(individuals!M28&gt;0,individuals!M28,"")</f>
        <v/>
      </c>
      <c r="X7" s="106">
        <f>IF(individuals!M29&gt;0,individuals!M29,"")</f>
        <v>23.40909090909091</v>
      </c>
      <c r="Y7" s="106" t="str">
        <f>IF(individuals!M30&gt;0,individuals!M30,"")</f>
        <v/>
      </c>
      <c r="Z7" s="106">
        <f>IF(individuals!M32&gt;0,individuals!M32,"")</f>
        <v>29.31818181818182</v>
      </c>
      <c r="AA7" s="106" t="str">
        <f>IF(individuals!M33&gt;0,individuals!M33,"")</f>
        <v/>
      </c>
      <c r="AB7" s="106">
        <f>IF(individuals!M34&gt;0,individuals!M34,"")</f>
        <v>33.18181818181818</v>
      </c>
      <c r="AC7" s="106" t="str">
        <f>IF(individuals!M35&gt;0,individuals!M35,"")</f>
        <v/>
      </c>
    </row>
    <row r="8" spans="1:29" x14ac:dyDescent="0.2">
      <c r="A8" s="100" t="str">
        <f>'individuals_stats (μm)'!A$2</f>
        <v>Macrobiotus horningi</v>
      </c>
      <c r="B8" s="145" t="str">
        <f>'individuals_stats (μm)'!B$2</f>
        <v>New Zealand</v>
      </c>
      <c r="C8" s="104" t="str">
        <f>individuals!N1</f>
        <v>NZ152</v>
      </c>
      <c r="D8" s="105">
        <f>IF(individuals!O3&gt;0,individuals!O3,"")</f>
        <v>1027.1186440677968</v>
      </c>
      <c r="E8" s="106">
        <f>IF(individuals!O6&gt;0,individuals!O6,"")</f>
        <v>78.813559322033896</v>
      </c>
      <c r="F8" s="106">
        <f>IF(individuals!O7&gt;0,individuals!O7,"")</f>
        <v>13.27683615819209</v>
      </c>
      <c r="G8" s="107">
        <f>IF(individuals!O8&gt;0,individuals!O8,"")</f>
        <v>8.1920903954802249</v>
      </c>
      <c r="H8" s="106">
        <f>IF(individuals!O9&gt;0,individuals!O9,"")</f>
        <v>61.864406779661017</v>
      </c>
      <c r="I8" s="106">
        <f>IF(individuals!O11&gt;0,individuals!O11,"")</f>
        <v>27.966101694915256</v>
      </c>
      <c r="J8" s="107">
        <f>IF(individuals!O12&gt;0,individuals!O12,"")</f>
        <v>17.796610169491526</v>
      </c>
      <c r="K8" s="107">
        <f>IF(individuals!O13&gt;0,individuals!O13,"")</f>
        <v>8.4745762711864412</v>
      </c>
      <c r="L8" s="106">
        <f>IF(individuals!O14&gt;0,individuals!O14,"")</f>
        <v>49.435028248587571</v>
      </c>
      <c r="M8" s="106">
        <f>IF(individuals!O15&gt;0,individuals!O15,"")</f>
        <v>58.757062146892657</v>
      </c>
      <c r="N8" s="106">
        <f>IF(individuals!O17&gt;0,individuals!O17,"")</f>
        <v>24.858757062146896</v>
      </c>
      <c r="O8" s="106" t="str">
        <f>IF(individuals!O18&gt;0,individuals!O18,"")</f>
        <v/>
      </c>
      <c r="P8" s="106">
        <f>IF(individuals!O19&gt;0,individuals!O19,"")</f>
        <v>23.446327683615824</v>
      </c>
      <c r="Q8" s="106" t="str">
        <f>IF(individuals!O20&gt;0,individuals!O20,"")</f>
        <v/>
      </c>
      <c r="R8" s="106" t="str">
        <f>IF(individuals!O22&gt;0,individuals!O22,"")</f>
        <v/>
      </c>
      <c r="S8" s="106" t="str">
        <f>IF(individuals!O23&gt;0,individuals!O23,"")</f>
        <v/>
      </c>
      <c r="T8" s="106" t="str">
        <f>IF(individuals!O24&gt;0,individuals!O24,"")</f>
        <v/>
      </c>
      <c r="U8" s="106" t="str">
        <f>IF(individuals!O25&gt;0,individuals!O25,"")</f>
        <v/>
      </c>
      <c r="V8" s="106">
        <f>IF(individuals!O27&gt;0,individuals!O27,"")</f>
        <v>25.141242937853107</v>
      </c>
      <c r="W8" s="106" t="str">
        <f>IF(individuals!O28&gt;0,individuals!O28,"")</f>
        <v/>
      </c>
      <c r="X8" s="106">
        <f>IF(individuals!O29&gt;0,individuals!O29,"")</f>
        <v>24.858757062146896</v>
      </c>
      <c r="Y8" s="106" t="str">
        <f>IF(individuals!O30&gt;0,individuals!O30,"")</f>
        <v/>
      </c>
      <c r="Z8" s="106">
        <f>IF(individuals!O32&gt;0,individuals!O32,"")</f>
        <v>39.265536723163848</v>
      </c>
      <c r="AA8" s="106">
        <f>IF(individuals!O33&gt;0,individuals!O33,"")</f>
        <v>30.508474576271187</v>
      </c>
      <c r="AB8" s="106" t="str">
        <f>IF(individuals!O34&gt;0,individuals!O34,"")</f>
        <v/>
      </c>
      <c r="AC8" s="106" t="str">
        <f>IF(individuals!O35&gt;0,individuals!O35,"")</f>
        <v/>
      </c>
    </row>
    <row r="9" spans="1:29" x14ac:dyDescent="0.2">
      <c r="A9" s="100" t="str">
        <f>'individuals_stats (μm)'!A$2</f>
        <v>Macrobiotus horningi</v>
      </c>
      <c r="B9" s="145" t="str">
        <f>'individuals_stats (μm)'!B$2</f>
        <v>New Zealand</v>
      </c>
      <c r="C9" s="104" t="str">
        <f>individuals!P1</f>
        <v>NZ157</v>
      </c>
      <c r="D9" s="105">
        <f>IF(individuals!Q3&gt;0,individuals!Q3,"")</f>
        <v>856</v>
      </c>
      <c r="E9" s="106">
        <f>IF(individuals!Q6&gt;0,individuals!Q6,"")</f>
        <v>76.400000000000006</v>
      </c>
      <c r="F9" s="106">
        <f>IF(individuals!Q7&gt;0,individuals!Q7,"")</f>
        <v>12</v>
      </c>
      <c r="G9" s="107">
        <f>IF(individuals!Q8&gt;0,individuals!Q8,"")</f>
        <v>7.2000000000000011</v>
      </c>
      <c r="H9" s="106">
        <f>IF(individuals!Q9&gt;0,individuals!Q9,"")</f>
        <v>59.599999999999994</v>
      </c>
      <c r="I9" s="106">
        <f>IF(individuals!Q11&gt;0,individuals!Q11,"")</f>
        <v>21.2</v>
      </c>
      <c r="J9" s="107">
        <f>IF(individuals!Q12&gt;0,individuals!Q12,"")</f>
        <v>15.2</v>
      </c>
      <c r="K9" s="107">
        <f>IF(individuals!Q13&gt;0,individuals!Q13,"")</f>
        <v>8.4</v>
      </c>
      <c r="L9" s="106">
        <f>IF(individuals!Q14&gt;0,individuals!Q14,"")</f>
        <v>42</v>
      </c>
      <c r="M9" s="106">
        <f>IF(individuals!Q15&gt;0,individuals!Q15,"")</f>
        <v>48.8</v>
      </c>
      <c r="N9" s="106">
        <f>IF(individuals!Q17&gt;0,individuals!Q17,"")</f>
        <v>26</v>
      </c>
      <c r="O9" s="106" t="str">
        <f>IF(individuals!Q18&gt;0,individuals!Q18,"")</f>
        <v/>
      </c>
      <c r="P9" s="106">
        <f>IF(individuals!Q19&gt;0,individuals!Q19,"")</f>
        <v>24</v>
      </c>
      <c r="Q9" s="106">
        <f>IF(individuals!Q20&gt;0,individuals!Q20,"")</f>
        <v>17.600000000000001</v>
      </c>
      <c r="R9" s="106">
        <f>IF(individuals!Q22&gt;0,individuals!Q22,"")</f>
        <v>25.2</v>
      </c>
      <c r="S9" s="106" t="str">
        <f>IF(individuals!Q23&gt;0,individuals!Q23,"")</f>
        <v/>
      </c>
      <c r="T9" s="106">
        <f>IF(individuals!Q24&gt;0,individuals!Q24,"")</f>
        <v>24</v>
      </c>
      <c r="U9" s="106" t="str">
        <f>IF(individuals!Q25&gt;0,individuals!Q25,"")</f>
        <v/>
      </c>
      <c r="V9" s="106">
        <f>IF(individuals!Q27&gt;0,individuals!Q27,"")</f>
        <v>26.8</v>
      </c>
      <c r="W9" s="106" t="str">
        <f>IF(individuals!Q28&gt;0,individuals!Q28,"")</f>
        <v/>
      </c>
      <c r="X9" s="106">
        <f>IF(individuals!Q29&gt;0,individuals!Q29,"")</f>
        <v>26.400000000000002</v>
      </c>
      <c r="Y9" s="106">
        <f>IF(individuals!Q30&gt;0,individuals!Q30,"")</f>
        <v>21.2</v>
      </c>
      <c r="Z9" s="106">
        <f>IF(individuals!Q32&gt;0,individuals!Q32,"")</f>
        <v>30</v>
      </c>
      <c r="AA9" s="106" t="str">
        <f>IF(individuals!Q33&gt;0,individuals!Q33,"")</f>
        <v/>
      </c>
      <c r="AB9" s="106" t="str">
        <f>IF(individuals!Q34&gt;0,individuals!Q34,"")</f>
        <v/>
      </c>
      <c r="AC9" s="106" t="str">
        <f>IF(individuals!Q35&gt;0,individuals!Q35,"")</f>
        <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77777"/>
  </sheetPr>
  <dimension ref="A1:K5"/>
  <sheetViews>
    <sheetView zoomScaleNormal="100" workbookViewId="0">
      <pane xSplit="3" ySplit="1" topLeftCell="D2" activePane="bottomRight" state="frozen"/>
      <selection pane="topRight" activeCell="C1" sqref="C1"/>
      <selection pane="bottomLeft" activeCell="A2" sqref="A2"/>
      <selection pane="bottomRight" activeCell="A3" sqref="A3:XFD16"/>
    </sheetView>
  </sheetViews>
  <sheetFormatPr defaultRowHeight="12.75" x14ac:dyDescent="0.2"/>
  <cols>
    <col min="1" max="1" width="19" style="109" bestFit="1" customWidth="1"/>
    <col min="2" max="2" width="11.5703125" style="144" bestFit="1" customWidth="1"/>
    <col min="3" max="3" width="9.140625" style="110"/>
    <col min="4" max="11" width="17" style="111" customWidth="1"/>
    <col min="12" max="16384" width="9.140625" style="108"/>
  </cols>
  <sheetData>
    <row r="1" spans="1:11" s="103" customFormat="1" ht="38.25" x14ac:dyDescent="0.2">
      <c r="A1" s="100" t="s">
        <v>90</v>
      </c>
      <c r="B1" s="142" t="s">
        <v>91</v>
      </c>
      <c r="C1" s="101" t="s">
        <v>77</v>
      </c>
      <c r="D1" s="102" t="s">
        <v>4</v>
      </c>
      <c r="E1" s="102" t="s">
        <v>5</v>
      </c>
      <c r="F1" s="102" t="s">
        <v>27</v>
      </c>
      <c r="G1" s="102" t="s">
        <v>28</v>
      </c>
      <c r="H1" s="102" t="s">
        <v>14</v>
      </c>
      <c r="I1" s="102" t="s">
        <v>17</v>
      </c>
      <c r="J1" s="102" t="s">
        <v>9</v>
      </c>
      <c r="K1" s="102" t="s">
        <v>26</v>
      </c>
    </row>
    <row r="2" spans="1:11" x14ac:dyDescent="0.2">
      <c r="A2" s="100" t="str">
        <f>'individuals_stats (μm)'!A$2</f>
        <v>Macrobiotus horningi</v>
      </c>
      <c r="B2" s="145" t="str">
        <f>'individuals_stats (μm)'!B$2</f>
        <v>New Zealand</v>
      </c>
      <c r="C2" s="104">
        <f>eggs!B1</f>
        <v>1</v>
      </c>
      <c r="D2" s="137">
        <f>IF(eggs!B2&gt;0,eggs!B2,"")</f>
        <v>78.5</v>
      </c>
      <c r="E2" s="106">
        <f>IF(eggs!B3&gt;0,eggs!B3,"")</f>
        <v>105.3</v>
      </c>
      <c r="F2" s="106">
        <f>IF(SUM(eggs!B4:B6)&gt;0,AVERAGE(eggs!B4:B6),"")</f>
        <v>12.633333333333335</v>
      </c>
      <c r="G2" s="106">
        <f>IF(SUM(eggs!B7:B9)&gt;0,AVERAGE(eggs!B7:B9),"")</f>
        <v>8.3666666666666654</v>
      </c>
      <c r="H2" s="140">
        <f>IF(SUM(eggs!B10:B12)&gt;0,AVERAGE(eggs!B10:B12),"")</f>
        <v>0.66332309853022375</v>
      </c>
      <c r="I2" s="106">
        <f>IF(SUM(eggs!B13:B15)&gt;0,AVERAGE(eggs!B13:B15),"")</f>
        <v>6.2333333333333334</v>
      </c>
      <c r="J2" s="106">
        <f>IF(SUM(eggs!B16:B18)&gt;0,AVERAGE(eggs!B16:B18),"")</f>
        <v>4.333333333333333</v>
      </c>
      <c r="K2" s="106">
        <f>IF(eggs!B19&gt;0,eggs!B19,"")</f>
        <v>20</v>
      </c>
    </row>
    <row r="4" spans="1:11" x14ac:dyDescent="0.2">
      <c r="F4" s="138"/>
      <c r="G4" s="139"/>
    </row>
    <row r="5" spans="1:11" x14ac:dyDescent="0.2">
      <c r="G5" s="139"/>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instructions</vt:lpstr>
      <vt:lpstr>individuals</vt:lpstr>
      <vt:lpstr>eggs</vt:lpstr>
      <vt:lpstr>individuals_stats (μm)</vt:lpstr>
      <vt:lpstr>individuals_stats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Macrobiotoidea (ver. 1.0)</dc:title>
  <dc:creator>Łukasz Michalczyk (LM@tardigrada.net)</dc:creator>
  <cp:keywords>Tardigrada Macrobiotoidea morphometry</cp:keywords>
  <cp:lastModifiedBy>Magda</cp:lastModifiedBy>
  <cp:lastPrinted>2003-07-11T12:21:57Z</cp:lastPrinted>
  <dcterms:created xsi:type="dcterms:W3CDTF">2003-07-11T12:08:32Z</dcterms:created>
  <dcterms:modified xsi:type="dcterms:W3CDTF">2021-03-02T12:24:08Z</dcterms:modified>
</cp:coreProperties>
</file>